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pivotTables/pivotTable1.xml" ContentType="application/vnd.openxmlformats-officedocument.spreadsheetml.pivotTable+xml"/>
  <Override PartName="/xl/comments6.xml" ContentType="application/vnd.openxmlformats-officedocument.spreadsheetml.comment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comments4.xml" ContentType="application/vnd.openxmlformats-officedocument.spreadsheetml.comments+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comments2.xml" ContentType="application/vnd.openxmlformats-officedocument.spreadsheetml.comments+xml"/>
  <Override PartName="/xl/comments3.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hidePivotFieldList="1" defaultThemeVersion="124226"/>
  <bookViews>
    <workbookView xWindow="105" yWindow="-15" windowWidth="19050" windowHeight="11955" tabRatio="927" firstSheet="1" activeTab="1"/>
  </bookViews>
  <sheets>
    <sheet name="Quarterly Report" sheetId="30" state="hidden" r:id="rId1"/>
    <sheet name="GMF MONTHLY INVESTOR REPORT" sheetId="39" r:id="rId2"/>
    <sheet name="May 13 Bonds to be called" sheetId="37" state="hidden" r:id="rId3"/>
    <sheet name="GMF 2 CCY Amortisation" sheetId="25" state="hidden" r:id="rId4"/>
    <sheet name="GMF 2 GBP Amortisation" sheetId="17" state="hidden" r:id="rId5"/>
    <sheet name="GMF 3 CCY Amortisation" sheetId="34" state="hidden" r:id="rId6"/>
    <sheet name="GMF 3 GBP Amortisation" sheetId="33" state="hidden" r:id="rId7"/>
    <sheet name="GMF 09 GBP Amortisation" sheetId="35" state="hidden" r:id="rId8"/>
    <sheet name="Notices" sheetId="28" state="hidden" r:id="rId9"/>
    <sheet name="Recon" sheetId="32" state="hidden" r:id="rId10"/>
    <sheet name="New Loans Additions" sheetId="6" state="hidden" r:id="rId11"/>
  </sheets>
  <externalReferences>
    <externalReference r:id="rId12"/>
    <externalReference r:id="rId13"/>
    <externalReference r:id="rId14"/>
    <externalReference r:id="rId15"/>
    <externalReference r:id="rId16"/>
    <externalReference r:id="rId17"/>
    <externalReference r:id="rId18"/>
  </externalReferences>
  <definedNames>
    <definedName name="_1__Controlled_Amortisation_Amount">'GMF 3 GBP Amortisation'!$A$84:$T$167</definedName>
    <definedName name="_2__Total_Tranche_Target_Balance">'GMF 3 GBP Amortisation'!$U$1:$Z$69</definedName>
    <definedName name="_3__Actual_Amortisation">'GMF 3 GBP Amortisation'!$U$84:$AM$152</definedName>
    <definedName name="_4__Unpaid_Principal">'GMF 3 GBP Amortisation'!$AN$84:$BE$152</definedName>
    <definedName name="_5__Accumulated_Unpaid_Principal">'GMF 3 GBP Amortisation'!$BF$84:$BW$152</definedName>
    <definedName name="_6__Actual_Outstanding">'GMF 3 GBP Amortisation'!$A$170:$T$238</definedName>
    <definedName name="_xlnm._FilterDatabase" localSheetId="7" hidden="1">'GMF 09 GBP Amortisation'!$A$2:$F$42</definedName>
    <definedName name="_xlnm._FilterDatabase" localSheetId="5" hidden="1">'GMF 3 CCY Amortisation'!$A$2:$S$70</definedName>
    <definedName name="_xlnm._FilterDatabase" localSheetId="6" hidden="1">'GMF 3 GBP Amortisation'!$A$2:$Z$2</definedName>
    <definedName name="Actual_Outstanding_gmf2" localSheetId="2">#REF!</definedName>
    <definedName name="Actual_Outstanding_gmf2">'GMF 2 GBP Amortisation'!$A$1:$R$85</definedName>
    <definedName name="Actual_Outstanding_gmf3">'GMF 3 GBP Amortisation'!$A$1:$T$70</definedName>
    <definedName name="AvaPrincipal" localSheetId="1">'[1]Available receipts'!$C$70</definedName>
    <definedName name="GBP_GMF2_LN_Outstanding" localSheetId="2">#REF!</definedName>
    <definedName name="GBP_GMF2_LN_Outstanding">#REF!</definedName>
    <definedName name="GBP_GMF3_LN_Outstanding" localSheetId="2">#REF!</definedName>
    <definedName name="GBP_GMF3_LN_Outstanding">#REF!</definedName>
    <definedName name="GMF09_Prin_due" localSheetId="2">#REF!</definedName>
    <definedName name="GMF09_Prin_due">'GMF 09 GBP Amortisation'!$A$59:$G$110</definedName>
    <definedName name="GMF2_NoteClass" localSheetId="2">#REF!</definedName>
    <definedName name="GMF2_NoteClass">#REF!</definedName>
    <definedName name="GMF3_NoteClass" localSheetId="2">#REF!</definedName>
    <definedName name="GMF3_NoteClass">#REF!</definedName>
    <definedName name="Note_Schedule">'GMF 3 GBP Amortisation'!$A$1:$S$69</definedName>
    <definedName name="_xlnm.Print_Area" localSheetId="1">'GMF MONTHLY INVESTOR REPORT'!$A$1:$L$671</definedName>
    <definedName name="_xlnm.Print_Area" localSheetId="2">'May 13 Bonds to be called'!$A$1:$J$42</definedName>
    <definedName name="_xlnm.Print_Area" localSheetId="0">'Quarterly Report'!$A$1:$M$705</definedName>
    <definedName name="_xlnm.Print_Area" localSheetId="9">Recon!$A$1:$K$29</definedName>
  </definedNames>
  <calcPr calcId="125725"/>
  <pivotCaches>
    <pivotCache cacheId="0" r:id="rId19"/>
  </pivotCaches>
</workbook>
</file>

<file path=xl/calcChain.xml><?xml version="1.0" encoding="utf-8"?>
<calcChain xmlns="http://schemas.openxmlformats.org/spreadsheetml/2006/main">
  <c r="C237" i="34"/>
  <c r="D237"/>
  <c r="E237"/>
  <c r="F237"/>
  <c r="G237"/>
  <c r="H237"/>
  <c r="I237"/>
  <c r="J237"/>
  <c r="K237"/>
  <c r="L237"/>
  <c r="M237"/>
  <c r="N237"/>
  <c r="O237"/>
  <c r="P237"/>
  <c r="Q237"/>
  <c r="R237"/>
  <c r="S237"/>
  <c r="T237"/>
  <c r="C238"/>
  <c r="D238"/>
  <c r="E238"/>
  <c r="F238"/>
  <c r="G238"/>
  <c r="H238"/>
  <c r="I238"/>
  <c r="J238"/>
  <c r="K238"/>
  <c r="L238"/>
  <c r="M238"/>
  <c r="N238"/>
  <c r="O238"/>
  <c r="P238"/>
  <c r="Q238"/>
  <c r="R238"/>
  <c r="S238"/>
  <c r="T238"/>
  <c r="C239"/>
  <c r="D239"/>
  <c r="E239"/>
  <c r="F239"/>
  <c r="G239"/>
  <c r="H239"/>
  <c r="I239"/>
  <c r="J239"/>
  <c r="K239"/>
  <c r="L239"/>
  <c r="M239"/>
  <c r="N239"/>
  <c r="O239"/>
  <c r="P239"/>
  <c r="Q239"/>
  <c r="R239"/>
  <c r="S239"/>
  <c r="T239" s="1"/>
  <c r="C240"/>
  <c r="D240"/>
  <c r="E240"/>
  <c r="F240"/>
  <c r="G240"/>
  <c r="H240"/>
  <c r="I240"/>
  <c r="J240"/>
  <c r="K240"/>
  <c r="L240"/>
  <c r="M240"/>
  <c r="N240"/>
  <c r="O240"/>
  <c r="P240"/>
  <c r="Q240"/>
  <c r="R240"/>
  <c r="S240"/>
  <c r="T240"/>
  <c r="C241"/>
  <c r="D241"/>
  <c r="E241"/>
  <c r="F241"/>
  <c r="G241"/>
  <c r="H241"/>
  <c r="I241"/>
  <c r="J241"/>
  <c r="K241"/>
  <c r="L241"/>
  <c r="M241"/>
  <c r="N241"/>
  <c r="O241"/>
  <c r="P241"/>
  <c r="Q241"/>
  <c r="R241"/>
  <c r="S241"/>
  <c r="T241" s="1"/>
  <c r="C242"/>
  <c r="D242"/>
  <c r="E242"/>
  <c r="F242"/>
  <c r="G242"/>
  <c r="H242"/>
  <c r="I242"/>
  <c r="J242"/>
  <c r="K242"/>
  <c r="L242"/>
  <c r="M242"/>
  <c r="N242"/>
  <c r="O242"/>
  <c r="P242"/>
  <c r="Q242"/>
  <c r="R242"/>
  <c r="S242"/>
  <c r="T242" s="1"/>
  <c r="C243"/>
  <c r="D243"/>
  <c r="E243"/>
  <c r="F243"/>
  <c r="G243"/>
  <c r="H243"/>
  <c r="I243"/>
  <c r="J243"/>
  <c r="K243"/>
  <c r="L243"/>
  <c r="M243"/>
  <c r="N243"/>
  <c r="O243"/>
  <c r="P243"/>
  <c r="Q243"/>
  <c r="R243"/>
  <c r="S243"/>
  <c r="T243" s="1"/>
  <c r="C244"/>
  <c r="D244"/>
  <c r="E244"/>
  <c r="F244"/>
  <c r="G244"/>
  <c r="H244"/>
  <c r="I244"/>
  <c r="J244"/>
  <c r="K244"/>
  <c r="L244"/>
  <c r="M244"/>
  <c r="N244"/>
  <c r="O244"/>
  <c r="P244"/>
  <c r="Q244"/>
  <c r="R244"/>
  <c r="S244"/>
  <c r="T244" s="1"/>
  <c r="C245"/>
  <c r="D245"/>
  <c r="E245"/>
  <c r="F245"/>
  <c r="G245"/>
  <c r="H245"/>
  <c r="I245"/>
  <c r="J245"/>
  <c r="K245"/>
  <c r="L245"/>
  <c r="M245"/>
  <c r="N245"/>
  <c r="O245"/>
  <c r="P245"/>
  <c r="Q245"/>
  <c r="T245" s="1"/>
  <c r="R245"/>
  <c r="S245"/>
  <c r="C246"/>
  <c r="D246"/>
  <c r="E246"/>
  <c r="F246"/>
  <c r="G246"/>
  <c r="H246"/>
  <c r="I246"/>
  <c r="J246"/>
  <c r="K246"/>
  <c r="L246"/>
  <c r="M246"/>
  <c r="N246"/>
  <c r="O246"/>
  <c r="P246"/>
  <c r="Q246"/>
  <c r="T246" s="1"/>
  <c r="R246"/>
  <c r="S246"/>
  <c r="C247"/>
  <c r="D247"/>
  <c r="E247"/>
  <c r="F247"/>
  <c r="G247"/>
  <c r="H247"/>
  <c r="I247"/>
  <c r="J247"/>
  <c r="K247"/>
  <c r="L247"/>
  <c r="M247"/>
  <c r="N247"/>
  <c r="O247"/>
  <c r="P247"/>
  <c r="Q247"/>
  <c r="T247" s="1"/>
  <c r="R247"/>
  <c r="S247"/>
  <c r="C248"/>
  <c r="D248"/>
  <c r="E248"/>
  <c r="F248"/>
  <c r="G248"/>
  <c r="H248"/>
  <c r="I248"/>
  <c r="J248"/>
  <c r="K248"/>
  <c r="L248"/>
  <c r="M248"/>
  <c r="N248"/>
  <c r="O248"/>
  <c r="T248" s="1"/>
  <c r="P248"/>
  <c r="Q248"/>
  <c r="R248"/>
  <c r="S248"/>
  <c r="C154"/>
  <c r="D154"/>
  <c r="E154"/>
  <c r="F154"/>
  <c r="G154"/>
  <c r="H154"/>
  <c r="I154"/>
  <c r="J154"/>
  <c r="K154"/>
  <c r="L154"/>
  <c r="M154"/>
  <c r="N154"/>
  <c r="O154"/>
  <c r="P154"/>
  <c r="Q154"/>
  <c r="R154"/>
  <c r="S154"/>
  <c r="T154"/>
  <c r="C155"/>
  <c r="D155"/>
  <c r="E155"/>
  <c r="F155"/>
  <c r="G155"/>
  <c r="H155"/>
  <c r="I155"/>
  <c r="J155"/>
  <c r="K155"/>
  <c r="L155"/>
  <c r="M155"/>
  <c r="N155"/>
  <c r="O155"/>
  <c r="P155"/>
  <c r="Q155"/>
  <c r="R155"/>
  <c r="S155"/>
  <c r="T155"/>
  <c r="C156"/>
  <c r="D156"/>
  <c r="E156"/>
  <c r="F156"/>
  <c r="G156"/>
  <c r="H156"/>
  <c r="I156"/>
  <c r="J156"/>
  <c r="K156"/>
  <c r="L156"/>
  <c r="M156"/>
  <c r="N156"/>
  <c r="O156"/>
  <c r="P156"/>
  <c r="Q156"/>
  <c r="R156"/>
  <c r="S156"/>
  <c r="T156"/>
  <c r="C157"/>
  <c r="D157"/>
  <c r="E157"/>
  <c r="F157"/>
  <c r="G157"/>
  <c r="H157"/>
  <c r="I157"/>
  <c r="J157"/>
  <c r="K157"/>
  <c r="L157"/>
  <c r="M157"/>
  <c r="N157"/>
  <c r="O157"/>
  <c r="P157"/>
  <c r="Q157"/>
  <c r="R157"/>
  <c r="S157"/>
  <c r="T157"/>
  <c r="C158"/>
  <c r="D158"/>
  <c r="E158"/>
  <c r="F158"/>
  <c r="G158"/>
  <c r="H158"/>
  <c r="I158"/>
  <c r="J158"/>
  <c r="K158"/>
  <c r="L158"/>
  <c r="M158"/>
  <c r="N158"/>
  <c r="O158"/>
  <c r="P158"/>
  <c r="Q158"/>
  <c r="R158"/>
  <c r="S158"/>
  <c r="T158"/>
  <c r="C159"/>
  <c r="D159"/>
  <c r="E159"/>
  <c r="F159"/>
  <c r="G159"/>
  <c r="H159"/>
  <c r="I159"/>
  <c r="J159"/>
  <c r="K159"/>
  <c r="L159"/>
  <c r="M159"/>
  <c r="N159"/>
  <c r="O159"/>
  <c r="P159"/>
  <c r="Q159"/>
  <c r="R159"/>
  <c r="S159"/>
  <c r="T159"/>
  <c r="C160"/>
  <c r="D160"/>
  <c r="E160"/>
  <c r="F160"/>
  <c r="G160"/>
  <c r="H160"/>
  <c r="I160"/>
  <c r="J160"/>
  <c r="K160"/>
  <c r="L160"/>
  <c r="M160"/>
  <c r="N160"/>
  <c r="O160"/>
  <c r="P160"/>
  <c r="Q160"/>
  <c r="R160"/>
  <c r="S160"/>
  <c r="T160"/>
  <c r="C161"/>
  <c r="D161"/>
  <c r="E161"/>
  <c r="F161"/>
  <c r="G161"/>
  <c r="H161"/>
  <c r="I161"/>
  <c r="J161"/>
  <c r="K161"/>
  <c r="L161"/>
  <c r="M161"/>
  <c r="N161"/>
  <c r="O161"/>
  <c r="P161"/>
  <c r="Q161"/>
  <c r="R161"/>
  <c r="S161"/>
  <c r="T161"/>
  <c r="C162"/>
  <c r="D162"/>
  <c r="E162"/>
  <c r="F162"/>
  <c r="G162"/>
  <c r="H162"/>
  <c r="I162"/>
  <c r="J162"/>
  <c r="K162"/>
  <c r="L162"/>
  <c r="M162"/>
  <c r="N162"/>
  <c r="O162"/>
  <c r="P162"/>
  <c r="Q162"/>
  <c r="R162"/>
  <c r="S162"/>
  <c r="T162"/>
  <c r="C163"/>
  <c r="D163"/>
  <c r="E163"/>
  <c r="F163"/>
  <c r="G163"/>
  <c r="H163"/>
  <c r="I163"/>
  <c r="J163"/>
  <c r="K163"/>
  <c r="L163"/>
  <c r="M163"/>
  <c r="N163"/>
  <c r="O163"/>
  <c r="P163"/>
  <c r="Q163"/>
  <c r="R163"/>
  <c r="S163"/>
  <c r="T163"/>
  <c r="C164"/>
  <c r="D164"/>
  <c r="E164"/>
  <c r="F164"/>
  <c r="G164"/>
  <c r="H164"/>
  <c r="I164"/>
  <c r="J164"/>
  <c r="K164"/>
  <c r="L164"/>
  <c r="M164"/>
  <c r="N164"/>
  <c r="O164"/>
  <c r="P164"/>
  <c r="Q164"/>
  <c r="R164"/>
  <c r="S164"/>
  <c r="T164"/>
  <c r="C165"/>
  <c r="D165"/>
  <c r="E165"/>
  <c r="F165"/>
  <c r="G165"/>
  <c r="H165"/>
  <c r="I165"/>
  <c r="J165"/>
  <c r="K165"/>
  <c r="L165"/>
  <c r="M165"/>
  <c r="N165"/>
  <c r="O165"/>
  <c r="P165"/>
  <c r="Q165"/>
  <c r="R165"/>
  <c r="S165"/>
  <c r="T165"/>
  <c r="V70"/>
  <c r="W70"/>
  <c r="X70"/>
  <c r="Y70"/>
  <c r="Z70"/>
  <c r="V71"/>
  <c r="W71"/>
  <c r="X71"/>
  <c r="Y71"/>
  <c r="Z71" s="1"/>
  <c r="V72"/>
  <c r="W72"/>
  <c r="X72"/>
  <c r="Y72"/>
  <c r="Z72" s="1"/>
  <c r="V73"/>
  <c r="W73"/>
  <c r="X73"/>
  <c r="Y73"/>
  <c r="Z73"/>
  <c r="V74"/>
  <c r="W74"/>
  <c r="X74"/>
  <c r="Y74"/>
  <c r="Z74"/>
  <c r="V75"/>
  <c r="W75"/>
  <c r="X75"/>
  <c r="Y75"/>
  <c r="Z75"/>
  <c r="V76"/>
  <c r="W76"/>
  <c r="X76"/>
  <c r="Y76"/>
  <c r="Z76"/>
  <c r="V77"/>
  <c r="W77"/>
  <c r="X77"/>
  <c r="Y77"/>
  <c r="Z77" s="1"/>
  <c r="V78"/>
  <c r="W78"/>
  <c r="X78"/>
  <c r="Y78"/>
  <c r="Z78"/>
  <c r="V79"/>
  <c r="W79"/>
  <c r="Z79" s="1"/>
  <c r="X79"/>
  <c r="Y79"/>
  <c r="V80"/>
  <c r="W80"/>
  <c r="X80"/>
  <c r="Y80"/>
  <c r="Z80"/>
  <c r="V81"/>
  <c r="W81"/>
  <c r="X81"/>
  <c r="Y81"/>
  <c r="Z81"/>
  <c r="V82"/>
  <c r="W82"/>
  <c r="X82"/>
  <c r="Y82"/>
  <c r="Z82"/>
  <c r="B82"/>
  <c r="B81"/>
  <c r="B80"/>
  <c r="B79"/>
  <c r="B78"/>
  <c r="B77"/>
  <c r="B76"/>
  <c r="B75"/>
  <c r="B74"/>
  <c r="B73"/>
  <c r="B72"/>
  <c r="B71"/>
  <c r="T239" i="33"/>
  <c r="T240"/>
  <c r="T241"/>
  <c r="T242"/>
  <c r="T243"/>
  <c r="T244"/>
  <c r="T245"/>
  <c r="T246"/>
  <c r="T247"/>
  <c r="T248"/>
  <c r="T249"/>
  <c r="T250"/>
  <c r="C250"/>
  <c r="D250"/>
  <c r="E250"/>
  <c r="F250"/>
  <c r="G250"/>
  <c r="H250"/>
  <c r="I250"/>
  <c r="J250"/>
  <c r="K250"/>
  <c r="L250"/>
  <c r="N250"/>
  <c r="P250"/>
  <c r="Q250"/>
  <c r="R250"/>
  <c r="S250"/>
  <c r="C239"/>
  <c r="D239"/>
  <c r="E239"/>
  <c r="F239"/>
  <c r="G239"/>
  <c r="H239"/>
  <c r="I239"/>
  <c r="J239"/>
  <c r="K239"/>
  <c r="L239"/>
  <c r="N239"/>
  <c r="P239"/>
  <c r="Q239"/>
  <c r="R239"/>
  <c r="S239"/>
  <c r="C240"/>
  <c r="D240"/>
  <c r="E240"/>
  <c r="F240"/>
  <c r="G240"/>
  <c r="H240"/>
  <c r="I240"/>
  <c r="J240"/>
  <c r="K240"/>
  <c r="L240"/>
  <c r="N240"/>
  <c r="P240"/>
  <c r="Q240"/>
  <c r="R240"/>
  <c r="S240"/>
  <c r="C241"/>
  <c r="D241"/>
  <c r="E241"/>
  <c r="F241"/>
  <c r="G241"/>
  <c r="H241"/>
  <c r="I241"/>
  <c r="J241"/>
  <c r="K241"/>
  <c r="L241"/>
  <c r="N241"/>
  <c r="P241"/>
  <c r="Q241"/>
  <c r="R241"/>
  <c r="S241"/>
  <c r="C242"/>
  <c r="D242"/>
  <c r="E242"/>
  <c r="F242"/>
  <c r="G242"/>
  <c r="H242"/>
  <c r="I242"/>
  <c r="J242"/>
  <c r="K242"/>
  <c r="L242"/>
  <c r="N242"/>
  <c r="P242"/>
  <c r="Q242"/>
  <c r="R242"/>
  <c r="S242"/>
  <c r="C243"/>
  <c r="D243"/>
  <c r="E243"/>
  <c r="F243"/>
  <c r="G243"/>
  <c r="H243"/>
  <c r="I243"/>
  <c r="J243"/>
  <c r="K243"/>
  <c r="L243"/>
  <c r="N243"/>
  <c r="P243"/>
  <c r="Q243"/>
  <c r="R243"/>
  <c r="S243"/>
  <c r="C244"/>
  <c r="D244"/>
  <c r="E244"/>
  <c r="F244"/>
  <c r="G244"/>
  <c r="H244"/>
  <c r="I244"/>
  <c r="J244"/>
  <c r="K244"/>
  <c r="L244"/>
  <c r="N244"/>
  <c r="P244"/>
  <c r="Q244"/>
  <c r="R244"/>
  <c r="S244"/>
  <c r="C245"/>
  <c r="D245"/>
  <c r="E245"/>
  <c r="F245"/>
  <c r="G245"/>
  <c r="H245"/>
  <c r="I245"/>
  <c r="J245"/>
  <c r="K245"/>
  <c r="L245"/>
  <c r="N245"/>
  <c r="P245"/>
  <c r="Q245"/>
  <c r="R245"/>
  <c r="S245"/>
  <c r="C246"/>
  <c r="D246"/>
  <c r="E246"/>
  <c r="F246"/>
  <c r="G246"/>
  <c r="H246"/>
  <c r="I246"/>
  <c r="J246"/>
  <c r="K246"/>
  <c r="L246"/>
  <c r="N246"/>
  <c r="P246"/>
  <c r="Q246"/>
  <c r="R246"/>
  <c r="S246"/>
  <c r="C247"/>
  <c r="D247"/>
  <c r="E247"/>
  <c r="F247"/>
  <c r="G247"/>
  <c r="H247"/>
  <c r="I247"/>
  <c r="J247"/>
  <c r="K247"/>
  <c r="L247"/>
  <c r="N247"/>
  <c r="P247"/>
  <c r="Q247"/>
  <c r="R247"/>
  <c r="S247"/>
  <c r="C248"/>
  <c r="D248"/>
  <c r="E248"/>
  <c r="F248"/>
  <c r="G248"/>
  <c r="H248"/>
  <c r="I248"/>
  <c r="J248"/>
  <c r="K248"/>
  <c r="L248"/>
  <c r="N248"/>
  <c r="P248"/>
  <c r="Q248"/>
  <c r="R248"/>
  <c r="S248"/>
  <c r="C249"/>
  <c r="D249"/>
  <c r="E249"/>
  <c r="F249"/>
  <c r="G249"/>
  <c r="H249"/>
  <c r="I249"/>
  <c r="J249"/>
  <c r="K249"/>
  <c r="L249"/>
  <c r="N249"/>
  <c r="P249"/>
  <c r="Q249"/>
  <c r="R249"/>
  <c r="S249"/>
  <c r="C153"/>
  <c r="D153"/>
  <c r="E153"/>
  <c r="F153"/>
  <c r="G153"/>
  <c r="H153"/>
  <c r="I153"/>
  <c r="J153"/>
  <c r="K153"/>
  <c r="L153"/>
  <c r="M153"/>
  <c r="N153"/>
  <c r="O153"/>
  <c r="P153"/>
  <c r="Q153"/>
  <c r="R153"/>
  <c r="S153"/>
  <c r="T153"/>
  <c r="C154"/>
  <c r="D154"/>
  <c r="E154"/>
  <c r="F154"/>
  <c r="G154"/>
  <c r="H154"/>
  <c r="I154"/>
  <c r="J154"/>
  <c r="K154"/>
  <c r="L154"/>
  <c r="M154"/>
  <c r="N154"/>
  <c r="O154"/>
  <c r="P154"/>
  <c r="Q154"/>
  <c r="R154"/>
  <c r="S154"/>
  <c r="T154"/>
  <c r="C155"/>
  <c r="D155"/>
  <c r="E155"/>
  <c r="F155"/>
  <c r="G155"/>
  <c r="H155"/>
  <c r="I155"/>
  <c r="J155"/>
  <c r="K155"/>
  <c r="L155"/>
  <c r="M155"/>
  <c r="N155"/>
  <c r="O155"/>
  <c r="P155"/>
  <c r="Q155"/>
  <c r="R155"/>
  <c r="S155"/>
  <c r="T155"/>
  <c r="C156"/>
  <c r="D156"/>
  <c r="E156"/>
  <c r="F156"/>
  <c r="G156"/>
  <c r="H156"/>
  <c r="I156"/>
  <c r="J156"/>
  <c r="K156"/>
  <c r="L156"/>
  <c r="M156"/>
  <c r="N156"/>
  <c r="O156"/>
  <c r="P156"/>
  <c r="Q156"/>
  <c r="R156"/>
  <c r="S156"/>
  <c r="T156"/>
  <c r="C157"/>
  <c r="D157"/>
  <c r="E157"/>
  <c r="F157"/>
  <c r="G157"/>
  <c r="H157"/>
  <c r="I157"/>
  <c r="J157"/>
  <c r="K157"/>
  <c r="L157"/>
  <c r="M157"/>
  <c r="N157"/>
  <c r="O157"/>
  <c r="P157"/>
  <c r="Q157"/>
  <c r="R157"/>
  <c r="S157"/>
  <c r="T157"/>
  <c r="C158"/>
  <c r="D158"/>
  <c r="E158"/>
  <c r="F158"/>
  <c r="G158"/>
  <c r="H158"/>
  <c r="I158"/>
  <c r="J158"/>
  <c r="K158"/>
  <c r="L158"/>
  <c r="M158"/>
  <c r="N158"/>
  <c r="O158"/>
  <c r="P158"/>
  <c r="Q158"/>
  <c r="R158"/>
  <c r="S158"/>
  <c r="T158"/>
  <c r="C159"/>
  <c r="D159"/>
  <c r="E159"/>
  <c r="F159"/>
  <c r="G159"/>
  <c r="H159"/>
  <c r="I159"/>
  <c r="J159"/>
  <c r="K159"/>
  <c r="L159"/>
  <c r="M159"/>
  <c r="N159"/>
  <c r="O159"/>
  <c r="P159"/>
  <c r="Q159"/>
  <c r="R159"/>
  <c r="S159"/>
  <c r="T159"/>
  <c r="C160"/>
  <c r="D160"/>
  <c r="E160"/>
  <c r="F160"/>
  <c r="G160"/>
  <c r="H160"/>
  <c r="I160"/>
  <c r="J160"/>
  <c r="K160"/>
  <c r="L160"/>
  <c r="M160"/>
  <c r="N160"/>
  <c r="O160"/>
  <c r="P160"/>
  <c r="Q160"/>
  <c r="R160"/>
  <c r="S160"/>
  <c r="T160"/>
  <c r="C161"/>
  <c r="D161"/>
  <c r="E161"/>
  <c r="F161"/>
  <c r="G161"/>
  <c r="H161"/>
  <c r="I161"/>
  <c r="J161"/>
  <c r="K161"/>
  <c r="L161"/>
  <c r="M161"/>
  <c r="N161"/>
  <c r="O161"/>
  <c r="P161"/>
  <c r="Q161"/>
  <c r="R161"/>
  <c r="S161"/>
  <c r="T161"/>
  <c r="C162"/>
  <c r="D162"/>
  <c r="E162"/>
  <c r="F162"/>
  <c r="G162"/>
  <c r="H162"/>
  <c r="I162"/>
  <c r="J162"/>
  <c r="K162"/>
  <c r="L162"/>
  <c r="M162"/>
  <c r="N162"/>
  <c r="O162"/>
  <c r="P162"/>
  <c r="Q162"/>
  <c r="R162"/>
  <c r="S162"/>
  <c r="T162"/>
  <c r="C163"/>
  <c r="D163"/>
  <c r="E163"/>
  <c r="F163"/>
  <c r="G163"/>
  <c r="H163"/>
  <c r="I163"/>
  <c r="J163"/>
  <c r="K163"/>
  <c r="L163"/>
  <c r="M163"/>
  <c r="N163"/>
  <c r="O163"/>
  <c r="P163"/>
  <c r="Q163"/>
  <c r="R163"/>
  <c r="S163"/>
  <c r="T163"/>
  <c r="C164"/>
  <c r="D164"/>
  <c r="E164"/>
  <c r="F164"/>
  <c r="G164"/>
  <c r="H164"/>
  <c r="I164"/>
  <c r="J164"/>
  <c r="K164"/>
  <c r="L164"/>
  <c r="M164"/>
  <c r="N164"/>
  <c r="O164"/>
  <c r="P164"/>
  <c r="Q164"/>
  <c r="R164"/>
  <c r="S164"/>
  <c r="T164"/>
  <c r="V80"/>
  <c r="W80"/>
  <c r="X80"/>
  <c r="Y80"/>
  <c r="Z80"/>
  <c r="V81"/>
  <c r="W81"/>
  <c r="X81"/>
  <c r="Y81"/>
  <c r="Z81"/>
  <c r="V82"/>
  <c r="W82"/>
  <c r="X82"/>
  <c r="Y82"/>
  <c r="Z82"/>
  <c r="T80"/>
  <c r="T81"/>
  <c r="T82"/>
  <c r="V70"/>
  <c r="W70"/>
  <c r="X70"/>
  <c r="Y70"/>
  <c r="Z70"/>
  <c r="V71"/>
  <c r="W71"/>
  <c r="X71"/>
  <c r="Y71"/>
  <c r="Z71"/>
  <c r="V72"/>
  <c r="W72"/>
  <c r="X72"/>
  <c r="Y72"/>
  <c r="Z72"/>
  <c r="V73"/>
  <c r="W73"/>
  <c r="X73"/>
  <c r="Y73"/>
  <c r="Z73"/>
  <c r="V74"/>
  <c r="W74"/>
  <c r="X74"/>
  <c r="Y74"/>
  <c r="Z74"/>
  <c r="V75"/>
  <c r="W75"/>
  <c r="X75"/>
  <c r="Y75"/>
  <c r="Z75"/>
  <c r="V76"/>
  <c r="W76"/>
  <c r="X76"/>
  <c r="Y76"/>
  <c r="Z76" s="1"/>
  <c r="V77"/>
  <c r="W77"/>
  <c r="X77"/>
  <c r="Y77"/>
  <c r="Z77" s="1"/>
  <c r="V78"/>
  <c r="W78"/>
  <c r="X78"/>
  <c r="Y78"/>
  <c r="Z78"/>
  <c r="V79"/>
  <c r="W79"/>
  <c r="X79"/>
  <c r="Y79"/>
  <c r="Z79"/>
  <c r="T70"/>
  <c r="T71"/>
  <c r="T72"/>
  <c r="T73"/>
  <c r="T74"/>
  <c r="T75"/>
  <c r="T76"/>
  <c r="T77"/>
  <c r="T78"/>
  <c r="T79"/>
  <c r="B82"/>
  <c r="B81"/>
  <c r="B80"/>
  <c r="B79"/>
  <c r="B78"/>
  <c r="B77"/>
  <c r="B76"/>
  <c r="B75"/>
  <c r="B74"/>
  <c r="B73"/>
  <c r="B72"/>
  <c r="B71"/>
  <c r="B11" i="37" l="1"/>
  <c r="C26" l="1"/>
  <c r="B26"/>
  <c r="C25"/>
  <c r="B25"/>
  <c r="C24"/>
  <c r="B24"/>
  <c r="B35" l="1"/>
  <c r="C19"/>
  <c r="C18"/>
  <c r="C12"/>
  <c r="C11"/>
  <c r="C16"/>
  <c r="B18"/>
  <c r="B16"/>
  <c r="C9"/>
  <c r="B9"/>
  <c r="J148" i="33" l="1"/>
  <c r="I148"/>
  <c r="H148"/>
  <c r="J149" i="34"/>
  <c r="I149"/>
  <c r="H149"/>
  <c r="C23" i="37" l="1"/>
  <c r="B23"/>
  <c r="C22"/>
  <c r="B22"/>
  <c r="B32"/>
  <c r="B40"/>
  <c r="B37"/>
  <c r="AH67" i="17"/>
  <c r="AE67"/>
  <c r="X67"/>
  <c r="D637" i="30"/>
  <c r="E637"/>
  <c r="F637"/>
  <c r="G640"/>
  <c r="G641"/>
  <c r="D643"/>
  <c r="E643"/>
  <c r="F643"/>
  <c r="G643"/>
  <c r="D645"/>
  <c r="E645"/>
  <c r="F645"/>
  <c r="G645"/>
  <c r="D648"/>
  <c r="E648"/>
  <c r="F648"/>
  <c r="G648"/>
  <c r="D649"/>
  <c r="E649"/>
  <c r="F649"/>
  <c r="D650"/>
  <c r="E650"/>
  <c r="D651"/>
  <c r="E651"/>
  <c r="F651"/>
  <c r="G651"/>
  <c r="D652"/>
  <c r="E652"/>
  <c r="D653"/>
  <c r="E653"/>
  <c r="D654"/>
  <c r="E654"/>
  <c r="F654"/>
  <c r="G654"/>
  <c r="C13" i="32"/>
  <c r="B3"/>
  <c r="C169" i="34"/>
  <c r="T4"/>
  <c r="T5" s="1"/>
  <c r="T6" s="1"/>
  <c r="T7" s="1"/>
  <c r="T8" s="1"/>
  <c r="T9" s="1"/>
  <c r="T10" s="1"/>
  <c r="T11" s="1"/>
  <c r="T12" s="1"/>
  <c r="T13" s="1"/>
  <c r="T14" s="1"/>
  <c r="T15" s="1"/>
  <c r="T16" s="1"/>
  <c r="T17" s="1"/>
  <c r="T18" s="1"/>
  <c r="T19" s="1"/>
  <c r="T20" s="1"/>
  <c r="T21" s="1"/>
  <c r="T22" s="1"/>
  <c r="T23" s="1"/>
  <c r="T24" s="1"/>
  <c r="T25" s="1"/>
  <c r="T26" s="1"/>
  <c r="T27" s="1"/>
  <c r="T28" s="1"/>
  <c r="T29" s="1"/>
  <c r="T30" s="1"/>
  <c r="T31" s="1"/>
  <c r="T32" s="1"/>
  <c r="T33" s="1"/>
  <c r="T34" s="1"/>
  <c r="T35" s="1"/>
  <c r="T36" s="1"/>
  <c r="T37" s="1"/>
  <c r="T38" s="1"/>
  <c r="T39" s="1"/>
  <c r="T40" s="1"/>
  <c r="T41" s="1"/>
  <c r="T42" s="1"/>
  <c r="T43" s="1"/>
  <c r="T44" s="1"/>
  <c r="T45" s="1"/>
  <c r="T46" s="1"/>
  <c r="T47" s="1"/>
  <c r="T48" s="1"/>
  <c r="T49" s="1"/>
  <c r="T50" s="1"/>
  <c r="T51" s="1"/>
  <c r="T52" s="1"/>
  <c r="T53" s="1"/>
  <c r="T54" s="1"/>
  <c r="T55" s="1"/>
  <c r="T56" s="1"/>
  <c r="T57" s="1"/>
  <c r="T58" s="1"/>
  <c r="T59" s="1"/>
  <c r="T60" s="1"/>
  <c r="T61" s="1"/>
  <c r="T62" s="1"/>
  <c r="T63" s="1"/>
  <c r="T64" s="1"/>
  <c r="T65" s="1"/>
  <c r="AI67" i="17"/>
  <c r="AG67"/>
  <c r="AF67"/>
  <c r="AC67"/>
  <c r="AB67"/>
  <c r="D357" i="30"/>
  <c r="C357"/>
  <c r="D353"/>
  <c r="D352"/>
  <c r="C353"/>
  <c r="C352"/>
  <c r="D697"/>
  <c r="D696"/>
  <c r="D695"/>
  <c r="D368"/>
  <c r="D367"/>
  <c r="C368"/>
  <c r="C367"/>
  <c r="B368"/>
  <c r="B367"/>
  <c r="F462"/>
  <c r="F461"/>
  <c r="F460"/>
  <c r="F459"/>
  <c r="F458"/>
  <c r="F454"/>
  <c r="F453"/>
  <c r="F452"/>
  <c r="F451"/>
  <c r="F450"/>
  <c r="C430"/>
  <c r="C429"/>
  <c r="C428"/>
  <c r="C426"/>
  <c r="C423"/>
  <c r="C422"/>
  <c r="C421"/>
  <c r="C427"/>
  <c r="C424"/>
  <c r="C697"/>
  <c r="C696"/>
  <c r="C695"/>
  <c r="B697"/>
  <c r="B696"/>
  <c r="B695"/>
  <c r="B693"/>
  <c r="E462"/>
  <c r="E461"/>
  <c r="E460"/>
  <c r="E459"/>
  <c r="E458"/>
  <c r="E454"/>
  <c r="E453"/>
  <c r="E452"/>
  <c r="E451"/>
  <c r="E450"/>
  <c r="D462"/>
  <c r="D461"/>
  <c r="D460"/>
  <c r="D459"/>
  <c r="D458"/>
  <c r="D454"/>
  <c r="D453"/>
  <c r="D452"/>
  <c r="D451"/>
  <c r="D450"/>
  <c r="J368"/>
  <c r="J367"/>
  <c r="I368"/>
  <c r="I367"/>
  <c r="H368"/>
  <c r="H367"/>
  <c r="G368"/>
  <c r="G367"/>
  <c r="F368"/>
  <c r="F367"/>
  <c r="E368"/>
  <c r="E367"/>
  <c r="C53"/>
  <c r="C52"/>
  <c r="C49"/>
  <c r="C48"/>
  <c r="C47"/>
  <c r="C46"/>
  <c r="C45"/>
  <c r="C44"/>
  <c r="D9"/>
  <c r="G611" s="1"/>
  <c r="D729"/>
  <c r="D356"/>
  <c r="C356"/>
  <c r="C42"/>
  <c r="C43"/>
  <c r="C41"/>
  <c r="B666"/>
  <c r="C51"/>
  <c r="B694"/>
  <c r="C74" i="35"/>
  <c r="I74"/>
  <c r="Q74" s="1"/>
  <c r="I610" i="30"/>
  <c r="J610"/>
  <c r="K610"/>
  <c r="I614"/>
  <c r="K614"/>
  <c r="G621"/>
  <c r="H621"/>
  <c r="I621"/>
  <c r="J621"/>
  <c r="G622"/>
  <c r="H622"/>
  <c r="I622"/>
  <c r="J622"/>
  <c r="K622"/>
  <c r="G593"/>
  <c r="H593"/>
  <c r="I593"/>
  <c r="J593"/>
  <c r="K593"/>
  <c r="G594"/>
  <c r="H594"/>
  <c r="I594"/>
  <c r="J594"/>
  <c r="K594"/>
  <c r="B9"/>
  <c r="G565"/>
  <c r="H565"/>
  <c r="I565"/>
  <c r="G566"/>
  <c r="H566"/>
  <c r="I566"/>
  <c r="J566"/>
  <c r="K566"/>
  <c r="G537"/>
  <c r="J537"/>
  <c r="G538"/>
  <c r="H538"/>
  <c r="I538"/>
  <c r="J538"/>
  <c r="L611"/>
  <c r="G38" i="34"/>
  <c r="G39"/>
  <c r="C188"/>
  <c r="C189"/>
  <c r="C190"/>
  <c r="C191"/>
  <c r="C192"/>
  <c r="C193"/>
  <c r="C194"/>
  <c r="C195"/>
  <c r="C196"/>
  <c r="C197"/>
  <c r="C198"/>
  <c r="C199"/>
  <c r="C200"/>
  <c r="C201"/>
  <c r="C202"/>
  <c r="C203"/>
  <c r="C204"/>
  <c r="C205"/>
  <c r="C206"/>
  <c r="C207"/>
  <c r="C208"/>
  <c r="C209"/>
  <c r="C210"/>
  <c r="C211"/>
  <c r="C212"/>
  <c r="C213"/>
  <c r="C214"/>
  <c r="C215"/>
  <c r="C216"/>
  <c r="C217"/>
  <c r="C218"/>
  <c r="C219"/>
  <c r="C220"/>
  <c r="C221"/>
  <c r="C222"/>
  <c r="C223"/>
  <c r="C224"/>
  <c r="C225"/>
  <c r="C226"/>
  <c r="C227"/>
  <c r="C228"/>
  <c r="C229"/>
  <c r="C230"/>
  <c r="C231"/>
  <c r="C232"/>
  <c r="C233"/>
  <c r="C234"/>
  <c r="C235"/>
  <c r="C236"/>
  <c r="C187"/>
  <c r="E92"/>
  <c r="AQ92" s="1"/>
  <c r="E93"/>
  <c r="E94"/>
  <c r="E95"/>
  <c r="E96"/>
  <c r="E97"/>
  <c r="E98"/>
  <c r="E99"/>
  <c r="E100"/>
  <c r="E101"/>
  <c r="AQ101" s="1"/>
  <c r="E102"/>
  <c r="E103"/>
  <c r="E104"/>
  <c r="E90"/>
  <c r="AQ90" s="1"/>
  <c r="E91"/>
  <c r="AQ91" s="1"/>
  <c r="E89"/>
  <c r="AQ89" s="1"/>
  <c r="D102"/>
  <c r="AP102" s="1"/>
  <c r="D103"/>
  <c r="D104"/>
  <c r="AP104" s="1"/>
  <c r="D99"/>
  <c r="D100"/>
  <c r="AP100" s="1"/>
  <c r="D101"/>
  <c r="D96"/>
  <c r="AP96" s="1"/>
  <c r="D97"/>
  <c r="D98"/>
  <c r="AP98" s="1"/>
  <c r="D93"/>
  <c r="D94"/>
  <c r="AP94" s="1"/>
  <c r="D95"/>
  <c r="D90"/>
  <c r="AP90" s="1"/>
  <c r="D91"/>
  <c r="D92"/>
  <c r="AP92" s="1"/>
  <c r="D89"/>
  <c r="C90"/>
  <c r="AO90" s="1"/>
  <c r="C91"/>
  <c r="C92"/>
  <c r="AO92" s="1"/>
  <c r="C93"/>
  <c r="C94"/>
  <c r="C95"/>
  <c r="C96"/>
  <c r="C97"/>
  <c r="C98"/>
  <c r="C99"/>
  <c r="C100"/>
  <c r="C101"/>
  <c r="C102"/>
  <c r="C103"/>
  <c r="C104"/>
  <c r="AO104" s="1"/>
  <c r="C105"/>
  <c r="C106"/>
  <c r="C107"/>
  <c r="C108"/>
  <c r="C109"/>
  <c r="C110"/>
  <c r="C111"/>
  <c r="C112"/>
  <c r="C113"/>
  <c r="C114"/>
  <c r="C115"/>
  <c r="C116"/>
  <c r="C117"/>
  <c r="C118"/>
  <c r="C119"/>
  <c r="C120"/>
  <c r="C121"/>
  <c r="C122"/>
  <c r="C123"/>
  <c r="C124"/>
  <c r="C125"/>
  <c r="C126"/>
  <c r="C127"/>
  <c r="C128"/>
  <c r="C129"/>
  <c r="C130"/>
  <c r="C131"/>
  <c r="C132"/>
  <c r="C133"/>
  <c r="C134"/>
  <c r="C135"/>
  <c r="C136"/>
  <c r="C137"/>
  <c r="C138"/>
  <c r="C139"/>
  <c r="C140"/>
  <c r="C141"/>
  <c r="C142"/>
  <c r="C143"/>
  <c r="C144"/>
  <c r="C145"/>
  <c r="C146"/>
  <c r="C147"/>
  <c r="C148"/>
  <c r="C149"/>
  <c r="C150"/>
  <c r="C151"/>
  <c r="C152"/>
  <c r="C153"/>
  <c r="C89"/>
  <c r="AP89"/>
  <c r="AP91"/>
  <c r="AP93"/>
  <c r="AP95"/>
  <c r="AP97"/>
  <c r="AP99"/>
  <c r="AP101"/>
  <c r="AP103"/>
  <c r="S121" i="33"/>
  <c r="R121"/>
  <c r="Q121"/>
  <c r="P121"/>
  <c r="O121"/>
  <c r="M121"/>
  <c r="L121"/>
  <c r="AQ104" i="34"/>
  <c r="AO89"/>
  <c r="AO91"/>
  <c r="AO93"/>
  <c r="AO94"/>
  <c r="AO95"/>
  <c r="AO96"/>
  <c r="AO97"/>
  <c r="AO98"/>
  <c r="AO99"/>
  <c r="AO100"/>
  <c r="AO101"/>
  <c r="AO102"/>
  <c r="AO103"/>
  <c r="AQ98"/>
  <c r="F107"/>
  <c r="AT149"/>
  <c r="AQ95"/>
  <c r="S122"/>
  <c r="R122"/>
  <c r="BD122" s="1"/>
  <c r="Q122"/>
  <c r="P122"/>
  <c r="BB122" s="1"/>
  <c r="O122"/>
  <c r="BA122" s="1"/>
  <c r="O119"/>
  <c r="M122"/>
  <c r="M119"/>
  <c r="AY119" s="1"/>
  <c r="L122"/>
  <c r="AX122" s="1"/>
  <c r="L119"/>
  <c r="AX119" s="1"/>
  <c r="AO105"/>
  <c r="AO106"/>
  <c r="AO107"/>
  <c r="AO108"/>
  <c r="AO109"/>
  <c r="AO110"/>
  <c r="AO111"/>
  <c r="AO112"/>
  <c r="AO113"/>
  <c r="AO114"/>
  <c r="AO115"/>
  <c r="AO116"/>
  <c r="AO117"/>
  <c r="AO118"/>
  <c r="AO119"/>
  <c r="BE122"/>
  <c r="BC122"/>
  <c r="BA119"/>
  <c r="AY122"/>
  <c r="N122"/>
  <c r="F122"/>
  <c r="AR122" s="1"/>
  <c r="G53" i="35"/>
  <c r="G111" s="1"/>
  <c r="C10" i="30"/>
  <c r="C9"/>
  <c r="S169" i="34"/>
  <c r="S203" s="1"/>
  <c r="R169"/>
  <c r="R204" s="1"/>
  <c r="Q169"/>
  <c r="Q203" s="1"/>
  <c r="P169"/>
  <c r="P204"/>
  <c r="O169"/>
  <c r="O203"/>
  <c r="M169"/>
  <c r="M204"/>
  <c r="L169"/>
  <c r="L203"/>
  <c r="J169"/>
  <c r="J231"/>
  <c r="I169"/>
  <c r="I231"/>
  <c r="H169"/>
  <c r="H231"/>
  <c r="G169"/>
  <c r="G202"/>
  <c r="F169"/>
  <c r="F202"/>
  <c r="I65" i="35"/>
  <c r="Q65"/>
  <c r="D694" i="30"/>
  <c r="B683"/>
  <c r="E119" i="34"/>
  <c r="J119"/>
  <c r="F119"/>
  <c r="AR119"/>
  <c r="U60" i="35"/>
  <c r="U61"/>
  <c r="V60"/>
  <c r="V61"/>
  <c r="T60"/>
  <c r="T62"/>
  <c r="S60"/>
  <c r="S69"/>
  <c r="B74"/>
  <c r="J74"/>
  <c r="R74" s="1"/>
  <c r="B65"/>
  <c r="J65" s="1"/>
  <c r="R65" s="1"/>
  <c r="O61"/>
  <c r="O62"/>
  <c r="O63"/>
  <c r="O64"/>
  <c r="O65"/>
  <c r="O66"/>
  <c r="O67"/>
  <c r="O68"/>
  <c r="O69"/>
  <c r="O70"/>
  <c r="O71"/>
  <c r="O72"/>
  <c r="O73"/>
  <c r="O74"/>
  <c r="O75"/>
  <c r="O76"/>
  <c r="O77"/>
  <c r="O78"/>
  <c r="O79"/>
  <c r="O80"/>
  <c r="O81"/>
  <c r="O82"/>
  <c r="O83"/>
  <c r="O84"/>
  <c r="O85"/>
  <c r="O86"/>
  <c r="O87"/>
  <c r="O88"/>
  <c r="O89"/>
  <c r="O90"/>
  <c r="O91"/>
  <c r="O92"/>
  <c r="O93"/>
  <c r="O94"/>
  <c r="O95"/>
  <c r="O96"/>
  <c r="O97"/>
  <c r="O98"/>
  <c r="O99"/>
  <c r="O100"/>
  <c r="O101"/>
  <c r="O102"/>
  <c r="O103"/>
  <c r="O104"/>
  <c r="O105"/>
  <c r="O106"/>
  <c r="O107"/>
  <c r="O108"/>
  <c r="O109"/>
  <c r="O110"/>
  <c r="O111"/>
  <c r="O60"/>
  <c r="I61"/>
  <c r="Q61" s="1"/>
  <c r="I62"/>
  <c r="Q62" s="1"/>
  <c r="I63"/>
  <c r="Q63" s="1"/>
  <c r="I64"/>
  <c r="Q64" s="1"/>
  <c r="I66"/>
  <c r="Q66" s="1"/>
  <c r="I67"/>
  <c r="Q67" s="1"/>
  <c r="I68"/>
  <c r="Q68" s="1"/>
  <c r="I69"/>
  <c r="Q69" s="1"/>
  <c r="I70"/>
  <c r="Q70" s="1"/>
  <c r="I71"/>
  <c r="Q71" s="1"/>
  <c r="I72"/>
  <c r="Q72" s="1"/>
  <c r="I73"/>
  <c r="Q73" s="1"/>
  <c r="I75"/>
  <c r="Q75" s="1"/>
  <c r="I76"/>
  <c r="Q76" s="1"/>
  <c r="I77"/>
  <c r="Q77" s="1"/>
  <c r="I78"/>
  <c r="Q78" s="1"/>
  <c r="I79"/>
  <c r="Q79" s="1"/>
  <c r="I80"/>
  <c r="Q80" s="1"/>
  <c r="I81"/>
  <c r="Q81" s="1"/>
  <c r="I82"/>
  <c r="Q82" s="1"/>
  <c r="I83"/>
  <c r="Q83" s="1"/>
  <c r="I84"/>
  <c r="Q84" s="1"/>
  <c r="I85"/>
  <c r="Q85" s="1"/>
  <c r="I86"/>
  <c r="Q86" s="1"/>
  <c r="I87"/>
  <c r="Q87" s="1"/>
  <c r="I88"/>
  <c r="Q88" s="1"/>
  <c r="I89"/>
  <c r="Q89" s="1"/>
  <c r="I90"/>
  <c r="Q90" s="1"/>
  <c r="I91"/>
  <c r="Q91" s="1"/>
  <c r="I92"/>
  <c r="Q92" s="1"/>
  <c r="I93"/>
  <c r="Q93" s="1"/>
  <c r="I94"/>
  <c r="Q94" s="1"/>
  <c r="I95"/>
  <c r="Q95" s="1"/>
  <c r="I96"/>
  <c r="Q96" s="1"/>
  <c r="I97"/>
  <c r="Q97" s="1"/>
  <c r="I98"/>
  <c r="Q98" s="1"/>
  <c r="I99"/>
  <c r="Q99" s="1"/>
  <c r="I100"/>
  <c r="Q100" s="1"/>
  <c r="I101"/>
  <c r="Q101" s="1"/>
  <c r="I102"/>
  <c r="Q102" s="1"/>
  <c r="I103"/>
  <c r="Q103" s="1"/>
  <c r="I104"/>
  <c r="Q104" s="1"/>
  <c r="I105"/>
  <c r="Q105" s="1"/>
  <c r="I106"/>
  <c r="Q106" s="1"/>
  <c r="I107"/>
  <c r="Q107" s="1"/>
  <c r="I108"/>
  <c r="Q108" s="1"/>
  <c r="I109"/>
  <c r="Q109" s="1"/>
  <c r="I110"/>
  <c r="Q110" s="1"/>
  <c r="I111"/>
  <c r="Q111" s="1"/>
  <c r="J111"/>
  <c r="R111" s="1"/>
  <c r="I60"/>
  <c r="Q60" s="1"/>
  <c r="B295" i="30"/>
  <c r="S119" i="34"/>
  <c r="BE119" s="1"/>
  <c r="P119"/>
  <c r="BB119" s="1"/>
  <c r="B10" i="30"/>
  <c r="D10"/>
  <c r="W22" i="17"/>
  <c r="W23"/>
  <c r="D111" i="35"/>
  <c r="E111"/>
  <c r="F111"/>
  <c r="C111"/>
  <c r="B64"/>
  <c r="J64" s="1"/>
  <c r="R64" s="1"/>
  <c r="R119" i="34"/>
  <c r="BD119" s="1"/>
  <c r="Q119"/>
  <c r="BC119" s="1"/>
  <c r="B41" i="6"/>
  <c r="B43" s="1"/>
  <c r="B8"/>
  <c r="B9" s="1"/>
  <c r="F11" s="1"/>
  <c r="A17"/>
  <c r="A18"/>
  <c r="B20"/>
  <c r="B32"/>
  <c r="B33" s="1"/>
  <c r="B54"/>
  <c r="B57"/>
  <c r="B63"/>
  <c r="B72"/>
  <c r="B77"/>
  <c r="B2" i="32"/>
  <c r="C2"/>
  <c r="C3"/>
  <c r="D3" s="1"/>
  <c r="B4"/>
  <c r="C4"/>
  <c r="B8"/>
  <c r="C12"/>
  <c r="C15"/>
  <c r="C16"/>
  <c r="C17"/>
  <c r="C19"/>
  <c r="C20"/>
  <c r="C22"/>
  <c r="C23"/>
  <c r="C25"/>
  <c r="C26"/>
  <c r="B33"/>
  <c r="C33"/>
  <c r="B34"/>
  <c r="C34"/>
  <c r="B35"/>
  <c r="D35" s="1"/>
  <c r="B36"/>
  <c r="C36"/>
  <c r="B37"/>
  <c r="H37" s="1"/>
  <c r="C37"/>
  <c r="B38"/>
  <c r="C38"/>
  <c r="B39"/>
  <c r="H39" s="1"/>
  <c r="C39"/>
  <c r="B40"/>
  <c r="D40" s="1"/>
  <c r="B41"/>
  <c r="C41"/>
  <c r="B42"/>
  <c r="C42"/>
  <c r="B43"/>
  <c r="D43" s="1"/>
  <c r="B44"/>
  <c r="C44"/>
  <c r="B45"/>
  <c r="C45"/>
  <c r="B46"/>
  <c r="D46" s="1"/>
  <c r="B47"/>
  <c r="C47"/>
  <c r="B48"/>
  <c r="C48"/>
  <c r="D48" s="1"/>
  <c r="K48" s="1"/>
  <c r="B49"/>
  <c r="D49" s="1"/>
  <c r="B3" i="35"/>
  <c r="G3"/>
  <c r="B4"/>
  <c r="G4"/>
  <c r="B5"/>
  <c r="G5"/>
  <c r="B6"/>
  <c r="G6"/>
  <c r="B7"/>
  <c r="G7"/>
  <c r="B8"/>
  <c r="G8"/>
  <c r="B9"/>
  <c r="G9"/>
  <c r="B10"/>
  <c r="G10"/>
  <c r="B11"/>
  <c r="G11"/>
  <c r="B12"/>
  <c r="G12"/>
  <c r="B13"/>
  <c r="G13"/>
  <c r="B14"/>
  <c r="G14"/>
  <c r="B15"/>
  <c r="G15"/>
  <c r="B16"/>
  <c r="G16"/>
  <c r="B17"/>
  <c r="G17"/>
  <c r="B18"/>
  <c r="G18"/>
  <c r="B19"/>
  <c r="G19"/>
  <c r="B20"/>
  <c r="G20"/>
  <c r="B21"/>
  <c r="G21"/>
  <c r="B22"/>
  <c r="G22"/>
  <c r="B23"/>
  <c r="G23"/>
  <c r="B24"/>
  <c r="G24"/>
  <c r="B25"/>
  <c r="G25"/>
  <c r="B26"/>
  <c r="G26"/>
  <c r="B27"/>
  <c r="G27"/>
  <c r="B28"/>
  <c r="G28"/>
  <c r="B29"/>
  <c r="G29"/>
  <c r="B30"/>
  <c r="G30"/>
  <c r="B31"/>
  <c r="G31"/>
  <c r="B32"/>
  <c r="G32"/>
  <c r="B33"/>
  <c r="G33"/>
  <c r="B34"/>
  <c r="G34"/>
  <c r="B35"/>
  <c r="G35"/>
  <c r="B36"/>
  <c r="G36"/>
  <c r="B37"/>
  <c r="G37"/>
  <c r="B38"/>
  <c r="G38"/>
  <c r="B39"/>
  <c r="G39"/>
  <c r="B40"/>
  <c r="G40"/>
  <c r="B41"/>
  <c r="G41"/>
  <c r="B42"/>
  <c r="G42"/>
  <c r="B43"/>
  <c r="G43"/>
  <c r="B44"/>
  <c r="G44"/>
  <c r="B45"/>
  <c r="G45"/>
  <c r="B46"/>
  <c r="G46"/>
  <c r="B47"/>
  <c r="G47"/>
  <c r="B48"/>
  <c r="G48"/>
  <c r="B49"/>
  <c r="G49"/>
  <c r="B50"/>
  <c r="G50"/>
  <c r="B51"/>
  <c r="G51"/>
  <c r="B52"/>
  <c r="G52"/>
  <c r="G110" s="1"/>
  <c r="B53"/>
  <c r="C59"/>
  <c r="D59"/>
  <c r="E59"/>
  <c r="F59"/>
  <c r="B60"/>
  <c r="J60" s="1"/>
  <c r="R60" s="1"/>
  <c r="G60"/>
  <c r="B61"/>
  <c r="J61" s="1"/>
  <c r="R61" s="1"/>
  <c r="C61"/>
  <c r="D61"/>
  <c r="E61"/>
  <c r="F61"/>
  <c r="B62"/>
  <c r="J62" s="1"/>
  <c r="R62" s="1"/>
  <c r="C62"/>
  <c r="D62"/>
  <c r="E62"/>
  <c r="F62"/>
  <c r="B63"/>
  <c r="J63" s="1"/>
  <c r="R63" s="1"/>
  <c r="C63"/>
  <c r="D63"/>
  <c r="E63"/>
  <c r="F63"/>
  <c r="C64"/>
  <c r="D64"/>
  <c r="E64"/>
  <c r="F64"/>
  <c r="C65"/>
  <c r="D65"/>
  <c r="E65"/>
  <c r="F65"/>
  <c r="B66"/>
  <c r="J66" s="1"/>
  <c r="R66" s="1"/>
  <c r="C66"/>
  <c r="D66"/>
  <c r="E66"/>
  <c r="F66"/>
  <c r="B67"/>
  <c r="J67" s="1"/>
  <c r="R67" s="1"/>
  <c r="C67"/>
  <c r="D67"/>
  <c r="E67"/>
  <c r="F67"/>
  <c r="B68"/>
  <c r="J68" s="1"/>
  <c r="R68" s="1"/>
  <c r="C68"/>
  <c r="D68"/>
  <c r="E68"/>
  <c r="F68"/>
  <c r="B69"/>
  <c r="J69" s="1"/>
  <c r="R69" s="1"/>
  <c r="C69"/>
  <c r="D69"/>
  <c r="E69"/>
  <c r="F69"/>
  <c r="B70"/>
  <c r="J70" s="1"/>
  <c r="R70" s="1"/>
  <c r="C70"/>
  <c r="D70"/>
  <c r="E70"/>
  <c r="F70"/>
  <c r="B71"/>
  <c r="J71" s="1"/>
  <c r="R71" s="1"/>
  <c r="C71"/>
  <c r="D71"/>
  <c r="E71"/>
  <c r="F71"/>
  <c r="B72"/>
  <c r="J72" s="1"/>
  <c r="R72" s="1"/>
  <c r="C72"/>
  <c r="D72"/>
  <c r="E72"/>
  <c r="F72"/>
  <c r="B73"/>
  <c r="J73" s="1"/>
  <c r="R73" s="1"/>
  <c r="C73"/>
  <c r="D73"/>
  <c r="E73"/>
  <c r="F73"/>
  <c r="D74"/>
  <c r="E74"/>
  <c r="F74"/>
  <c r="B75"/>
  <c r="J75" s="1"/>
  <c r="R75" s="1"/>
  <c r="C75"/>
  <c r="D75"/>
  <c r="E75"/>
  <c r="F75"/>
  <c r="B76"/>
  <c r="J76" s="1"/>
  <c r="R76" s="1"/>
  <c r="C76"/>
  <c r="D76"/>
  <c r="E76"/>
  <c r="F76"/>
  <c r="B77"/>
  <c r="J77" s="1"/>
  <c r="R77" s="1"/>
  <c r="C77"/>
  <c r="D77"/>
  <c r="E77"/>
  <c r="F77"/>
  <c r="B78"/>
  <c r="J78" s="1"/>
  <c r="R78" s="1"/>
  <c r="C78"/>
  <c r="D78"/>
  <c r="E78"/>
  <c r="F78"/>
  <c r="B79"/>
  <c r="J79" s="1"/>
  <c r="R79" s="1"/>
  <c r="C79"/>
  <c r="D79"/>
  <c r="E79"/>
  <c r="F79"/>
  <c r="B80"/>
  <c r="J80" s="1"/>
  <c r="R80" s="1"/>
  <c r="C80"/>
  <c r="D80"/>
  <c r="E80"/>
  <c r="F80"/>
  <c r="B81"/>
  <c r="J81" s="1"/>
  <c r="R81" s="1"/>
  <c r="C81"/>
  <c r="D81"/>
  <c r="E81"/>
  <c r="F81"/>
  <c r="B82"/>
  <c r="J82" s="1"/>
  <c r="R82" s="1"/>
  <c r="C82"/>
  <c r="D82"/>
  <c r="E82"/>
  <c r="F82"/>
  <c r="B83"/>
  <c r="J83" s="1"/>
  <c r="R83" s="1"/>
  <c r="C83"/>
  <c r="D83"/>
  <c r="E83"/>
  <c r="F83"/>
  <c r="B84"/>
  <c r="J84" s="1"/>
  <c r="R84" s="1"/>
  <c r="C84"/>
  <c r="D84"/>
  <c r="E84"/>
  <c r="F84"/>
  <c r="B85"/>
  <c r="J85" s="1"/>
  <c r="R85" s="1"/>
  <c r="C85"/>
  <c r="D85"/>
  <c r="E85"/>
  <c r="F85"/>
  <c r="B86"/>
  <c r="J86" s="1"/>
  <c r="R86" s="1"/>
  <c r="C86"/>
  <c r="D86"/>
  <c r="E86"/>
  <c r="F86"/>
  <c r="B87"/>
  <c r="J87" s="1"/>
  <c r="R87" s="1"/>
  <c r="C87"/>
  <c r="D87"/>
  <c r="E87"/>
  <c r="F87"/>
  <c r="B88"/>
  <c r="J88" s="1"/>
  <c r="R88" s="1"/>
  <c r="C88"/>
  <c r="D88"/>
  <c r="E88"/>
  <c r="F88"/>
  <c r="B89"/>
  <c r="J89" s="1"/>
  <c r="R89" s="1"/>
  <c r="C89"/>
  <c r="D89"/>
  <c r="E89"/>
  <c r="F89"/>
  <c r="B90"/>
  <c r="J90" s="1"/>
  <c r="R90" s="1"/>
  <c r="C90"/>
  <c r="D90"/>
  <c r="E90"/>
  <c r="F90"/>
  <c r="B91"/>
  <c r="J91" s="1"/>
  <c r="R91" s="1"/>
  <c r="C91"/>
  <c r="D91"/>
  <c r="E91"/>
  <c r="F91"/>
  <c r="B92"/>
  <c r="J92" s="1"/>
  <c r="R92" s="1"/>
  <c r="C92"/>
  <c r="D92"/>
  <c r="E92"/>
  <c r="F92"/>
  <c r="B93"/>
  <c r="J93" s="1"/>
  <c r="R93" s="1"/>
  <c r="C93"/>
  <c r="D93"/>
  <c r="E93"/>
  <c r="F93"/>
  <c r="B94"/>
  <c r="J94" s="1"/>
  <c r="R94" s="1"/>
  <c r="C94"/>
  <c r="D94"/>
  <c r="E94"/>
  <c r="F94"/>
  <c r="B95"/>
  <c r="J95" s="1"/>
  <c r="R95" s="1"/>
  <c r="C95"/>
  <c r="D95"/>
  <c r="E95"/>
  <c r="F95"/>
  <c r="B96"/>
  <c r="J96" s="1"/>
  <c r="R96" s="1"/>
  <c r="C96"/>
  <c r="D96"/>
  <c r="E96"/>
  <c r="F96"/>
  <c r="B97"/>
  <c r="J97" s="1"/>
  <c r="R97" s="1"/>
  <c r="C97"/>
  <c r="D97"/>
  <c r="E97"/>
  <c r="F97"/>
  <c r="G97"/>
  <c r="B98"/>
  <c r="J98" s="1"/>
  <c r="R98" s="1"/>
  <c r="C98"/>
  <c r="D98"/>
  <c r="E98"/>
  <c r="F98"/>
  <c r="G98"/>
  <c r="B99"/>
  <c r="J99" s="1"/>
  <c r="R99" s="1"/>
  <c r="C99"/>
  <c r="D99"/>
  <c r="E99"/>
  <c r="F99"/>
  <c r="G99"/>
  <c r="B100"/>
  <c r="J100" s="1"/>
  <c r="R100" s="1"/>
  <c r="C100"/>
  <c r="D100"/>
  <c r="E100"/>
  <c r="F100"/>
  <c r="G100"/>
  <c r="B101"/>
  <c r="J101" s="1"/>
  <c r="R101" s="1"/>
  <c r="C101"/>
  <c r="D101"/>
  <c r="E101"/>
  <c r="F101"/>
  <c r="G101"/>
  <c r="B102"/>
  <c r="J102" s="1"/>
  <c r="R102" s="1"/>
  <c r="C102"/>
  <c r="D102"/>
  <c r="E102"/>
  <c r="F102"/>
  <c r="G102"/>
  <c r="B103"/>
  <c r="J103" s="1"/>
  <c r="R103" s="1"/>
  <c r="C103"/>
  <c r="D103"/>
  <c r="E103"/>
  <c r="F103"/>
  <c r="G103"/>
  <c r="B104"/>
  <c r="J104" s="1"/>
  <c r="R104" s="1"/>
  <c r="C104"/>
  <c r="D104"/>
  <c r="E104"/>
  <c r="F104"/>
  <c r="G104"/>
  <c r="B105"/>
  <c r="J105" s="1"/>
  <c r="R105" s="1"/>
  <c r="C105"/>
  <c r="D105"/>
  <c r="E105"/>
  <c r="F105"/>
  <c r="G105"/>
  <c r="B106"/>
  <c r="J106" s="1"/>
  <c r="R106" s="1"/>
  <c r="C106"/>
  <c r="D106"/>
  <c r="E106"/>
  <c r="F106"/>
  <c r="G106"/>
  <c r="B107"/>
  <c r="J107" s="1"/>
  <c r="R107" s="1"/>
  <c r="C107"/>
  <c r="D107"/>
  <c r="E107"/>
  <c r="F107"/>
  <c r="G107"/>
  <c r="B108"/>
  <c r="J108" s="1"/>
  <c r="R108" s="1"/>
  <c r="C108"/>
  <c r="D108"/>
  <c r="E108"/>
  <c r="F108"/>
  <c r="G108"/>
  <c r="B109"/>
  <c r="J109" s="1"/>
  <c r="R109" s="1"/>
  <c r="C109"/>
  <c r="D109"/>
  <c r="E109"/>
  <c r="F109"/>
  <c r="G109"/>
  <c r="B110"/>
  <c r="J110" s="1"/>
  <c r="R110" s="1"/>
  <c r="C110"/>
  <c r="D110"/>
  <c r="E110"/>
  <c r="F110"/>
  <c r="T3" i="33"/>
  <c r="V3"/>
  <c r="W3"/>
  <c r="X3"/>
  <c r="Y3"/>
  <c r="B4"/>
  <c r="T4"/>
  <c r="V4"/>
  <c r="W4"/>
  <c r="X4"/>
  <c r="Y4"/>
  <c r="B5"/>
  <c r="T5"/>
  <c r="V5"/>
  <c r="W5"/>
  <c r="X5"/>
  <c r="Y5"/>
  <c r="B6"/>
  <c r="T6"/>
  <c r="V6"/>
  <c r="W6"/>
  <c r="X6"/>
  <c r="Y6"/>
  <c r="B7"/>
  <c r="T7"/>
  <c r="V7"/>
  <c r="W7"/>
  <c r="X7"/>
  <c r="Y7"/>
  <c r="B8"/>
  <c r="T8"/>
  <c r="V8"/>
  <c r="W8"/>
  <c r="X8"/>
  <c r="Y8"/>
  <c r="B9"/>
  <c r="T9"/>
  <c r="V9"/>
  <c r="W9"/>
  <c r="X9"/>
  <c r="Y9"/>
  <c r="B10"/>
  <c r="T10"/>
  <c r="V10"/>
  <c r="W10"/>
  <c r="X10"/>
  <c r="Y10"/>
  <c r="B11"/>
  <c r="T11"/>
  <c r="V11"/>
  <c r="W11"/>
  <c r="X11"/>
  <c r="Y11"/>
  <c r="B12"/>
  <c r="T12"/>
  <c r="V12"/>
  <c r="W12"/>
  <c r="X12"/>
  <c r="Y12"/>
  <c r="B13"/>
  <c r="T13"/>
  <c r="V13"/>
  <c r="W13"/>
  <c r="X13"/>
  <c r="Y13"/>
  <c r="B14"/>
  <c r="T14"/>
  <c r="V14"/>
  <c r="W14"/>
  <c r="X14"/>
  <c r="Y14"/>
  <c r="B15"/>
  <c r="T15"/>
  <c r="V15"/>
  <c r="W15"/>
  <c r="X15"/>
  <c r="Y15"/>
  <c r="B16"/>
  <c r="T16"/>
  <c r="V16"/>
  <c r="W16"/>
  <c r="X16"/>
  <c r="Y16"/>
  <c r="B17"/>
  <c r="T17"/>
  <c r="V17"/>
  <c r="W17"/>
  <c r="X17"/>
  <c r="Y17"/>
  <c r="B18"/>
  <c r="T18"/>
  <c r="V18"/>
  <c r="W18"/>
  <c r="X18"/>
  <c r="Y18"/>
  <c r="B19"/>
  <c r="T19"/>
  <c r="V19"/>
  <c r="W19"/>
  <c r="X19"/>
  <c r="Y19"/>
  <c r="B20"/>
  <c r="T20"/>
  <c r="V20"/>
  <c r="W20"/>
  <c r="X20"/>
  <c r="Y20"/>
  <c r="B21"/>
  <c r="T21"/>
  <c r="V21"/>
  <c r="W21"/>
  <c r="X21"/>
  <c r="Y21"/>
  <c r="B22"/>
  <c r="T22"/>
  <c r="V22"/>
  <c r="W22"/>
  <c r="X22"/>
  <c r="Y22"/>
  <c r="B23"/>
  <c r="T23"/>
  <c r="V23"/>
  <c r="W23"/>
  <c r="X23"/>
  <c r="Y23"/>
  <c r="B24"/>
  <c r="T24"/>
  <c r="V24"/>
  <c r="W24"/>
  <c r="X24"/>
  <c r="Y24"/>
  <c r="B25"/>
  <c r="T25"/>
  <c r="V25"/>
  <c r="W25"/>
  <c r="X25"/>
  <c r="Y25"/>
  <c r="B26"/>
  <c r="T26"/>
  <c r="V26"/>
  <c r="W26"/>
  <c r="X26"/>
  <c r="Y26"/>
  <c r="B27"/>
  <c r="T27"/>
  <c r="V27"/>
  <c r="W27"/>
  <c r="X27"/>
  <c r="Y27"/>
  <c r="B28"/>
  <c r="T28"/>
  <c r="V28"/>
  <c r="W28"/>
  <c r="X28"/>
  <c r="Y28"/>
  <c r="B29"/>
  <c r="T29"/>
  <c r="V29"/>
  <c r="W29"/>
  <c r="X29"/>
  <c r="Y29"/>
  <c r="B30"/>
  <c r="T30"/>
  <c r="V30"/>
  <c r="W30"/>
  <c r="X30"/>
  <c r="Y30"/>
  <c r="B31"/>
  <c r="T31"/>
  <c r="V31"/>
  <c r="W31"/>
  <c r="X31"/>
  <c r="Y31"/>
  <c r="B32"/>
  <c r="T32"/>
  <c r="V32"/>
  <c r="W32"/>
  <c r="X32"/>
  <c r="Y32"/>
  <c r="B33"/>
  <c r="T33"/>
  <c r="V33"/>
  <c r="W33"/>
  <c r="X33"/>
  <c r="Y33"/>
  <c r="B34"/>
  <c r="T34"/>
  <c r="V34"/>
  <c r="W34"/>
  <c r="X34"/>
  <c r="Y34"/>
  <c r="B35"/>
  <c r="T35"/>
  <c r="V35"/>
  <c r="W35"/>
  <c r="X35"/>
  <c r="Y35"/>
  <c r="B36"/>
  <c r="T36"/>
  <c r="V36"/>
  <c r="W36"/>
  <c r="X36"/>
  <c r="Y36"/>
  <c r="B37"/>
  <c r="T37"/>
  <c r="V37"/>
  <c r="W37"/>
  <c r="X37"/>
  <c r="Y37"/>
  <c r="B38"/>
  <c r="T38"/>
  <c r="V38"/>
  <c r="W38"/>
  <c r="X38"/>
  <c r="Y38"/>
  <c r="B39"/>
  <c r="T39"/>
  <c r="V39"/>
  <c r="W39"/>
  <c r="X39"/>
  <c r="Y39"/>
  <c r="B40"/>
  <c r="T40"/>
  <c r="V40"/>
  <c r="W40"/>
  <c r="X40"/>
  <c r="Y40"/>
  <c r="B41"/>
  <c r="T41"/>
  <c r="V41"/>
  <c r="W41"/>
  <c r="X41"/>
  <c r="Y41"/>
  <c r="B42"/>
  <c r="T42"/>
  <c r="V42"/>
  <c r="W42"/>
  <c r="X42"/>
  <c r="Y42"/>
  <c r="B43"/>
  <c r="T43"/>
  <c r="V43"/>
  <c r="W43"/>
  <c r="X43"/>
  <c r="Y43"/>
  <c r="B44"/>
  <c r="T44"/>
  <c r="V44"/>
  <c r="W44"/>
  <c r="X44"/>
  <c r="Y44"/>
  <c r="B45"/>
  <c r="T45"/>
  <c r="V45"/>
  <c r="W45"/>
  <c r="X45"/>
  <c r="Y45"/>
  <c r="B46"/>
  <c r="T46"/>
  <c r="V46"/>
  <c r="W46"/>
  <c r="X46"/>
  <c r="Y46"/>
  <c r="B47"/>
  <c r="T47"/>
  <c r="V47"/>
  <c r="W47"/>
  <c r="X47"/>
  <c r="Y47"/>
  <c r="B48"/>
  <c r="T48"/>
  <c r="V48"/>
  <c r="W48"/>
  <c r="X48"/>
  <c r="Y48"/>
  <c r="B49"/>
  <c r="T49"/>
  <c r="V49"/>
  <c r="W49"/>
  <c r="X49"/>
  <c r="Y49"/>
  <c r="B50"/>
  <c r="T50"/>
  <c r="V50"/>
  <c r="W50"/>
  <c r="X50"/>
  <c r="Y50"/>
  <c r="B51"/>
  <c r="T51"/>
  <c r="V51"/>
  <c r="W51"/>
  <c r="X51"/>
  <c r="Y51"/>
  <c r="B52"/>
  <c r="T52"/>
  <c r="V52"/>
  <c r="W52"/>
  <c r="X52"/>
  <c r="Y52"/>
  <c r="B53"/>
  <c r="T53"/>
  <c r="V53"/>
  <c r="W53"/>
  <c r="X53"/>
  <c r="Y53"/>
  <c r="B54"/>
  <c r="T54"/>
  <c r="V54"/>
  <c r="W54"/>
  <c r="X54"/>
  <c r="Y54"/>
  <c r="B55"/>
  <c r="T55"/>
  <c r="V55"/>
  <c r="W55"/>
  <c r="X55"/>
  <c r="Y55"/>
  <c r="B56"/>
  <c r="T56"/>
  <c r="V56"/>
  <c r="W56"/>
  <c r="X56"/>
  <c r="Y56"/>
  <c r="B57"/>
  <c r="T57"/>
  <c r="V57"/>
  <c r="W57"/>
  <c r="X57"/>
  <c r="Y57"/>
  <c r="B58"/>
  <c r="T58"/>
  <c r="V58"/>
  <c r="W58"/>
  <c r="X58"/>
  <c r="Y58"/>
  <c r="B59"/>
  <c r="T59"/>
  <c r="V59"/>
  <c r="W59"/>
  <c r="X59"/>
  <c r="Y59"/>
  <c r="B60"/>
  <c r="T60"/>
  <c r="V60"/>
  <c r="W60"/>
  <c r="X60"/>
  <c r="Y60"/>
  <c r="B61"/>
  <c r="T61"/>
  <c r="V61"/>
  <c r="W61"/>
  <c r="X61"/>
  <c r="Y61"/>
  <c r="B62"/>
  <c r="T62"/>
  <c r="V62"/>
  <c r="W62"/>
  <c r="X62"/>
  <c r="Y62"/>
  <c r="B63"/>
  <c r="T63"/>
  <c r="V63"/>
  <c r="W63"/>
  <c r="X63"/>
  <c r="Y63"/>
  <c r="B64"/>
  <c r="T64"/>
  <c r="V64"/>
  <c r="W64"/>
  <c r="X64"/>
  <c r="Y64"/>
  <c r="B65"/>
  <c r="T65"/>
  <c r="V65"/>
  <c r="W65"/>
  <c r="X65"/>
  <c r="Y65"/>
  <c r="B66"/>
  <c r="T66"/>
  <c r="V66"/>
  <c r="W66"/>
  <c r="X66"/>
  <c r="Y66"/>
  <c r="B67"/>
  <c r="T67"/>
  <c r="V67"/>
  <c r="W67"/>
  <c r="X67"/>
  <c r="Y67"/>
  <c r="B68"/>
  <c r="T68"/>
  <c r="V68"/>
  <c r="W68"/>
  <c r="X68"/>
  <c r="Y68"/>
  <c r="B69"/>
  <c r="T69"/>
  <c r="V69"/>
  <c r="W69"/>
  <c r="X69"/>
  <c r="Y69"/>
  <c r="B70"/>
  <c r="AO85"/>
  <c r="BG85"/>
  <c r="AP85"/>
  <c r="BH85"/>
  <c r="AQ85"/>
  <c r="AR85"/>
  <c r="BJ85" s="1"/>
  <c r="AS85"/>
  <c r="BK85" s="1"/>
  <c r="AT85"/>
  <c r="BL85" s="1"/>
  <c r="AU85"/>
  <c r="BM85" s="1"/>
  <c r="AV85"/>
  <c r="BN85" s="1"/>
  <c r="AW85"/>
  <c r="BO85" s="1"/>
  <c r="AX85"/>
  <c r="BP85" s="1"/>
  <c r="AY85"/>
  <c r="BQ85" s="1"/>
  <c r="AZ85"/>
  <c r="BR85" s="1"/>
  <c r="BA85"/>
  <c r="BS85" s="1"/>
  <c r="BB85"/>
  <c r="BT85" s="1"/>
  <c r="BC85"/>
  <c r="BD85"/>
  <c r="BV85" s="1"/>
  <c r="BE85"/>
  <c r="BW85" s="1"/>
  <c r="BI85"/>
  <c r="BU85"/>
  <c r="C86"/>
  <c r="D86"/>
  <c r="AP86" s="1"/>
  <c r="BH86" s="1"/>
  <c r="E86"/>
  <c r="AQ86" s="1"/>
  <c r="BI86" s="1"/>
  <c r="F86"/>
  <c r="AR86" s="1"/>
  <c r="BJ86" s="1"/>
  <c r="G86"/>
  <c r="AS86" s="1"/>
  <c r="BK86" s="1"/>
  <c r="H86"/>
  <c r="AT86" s="1"/>
  <c r="BL86" s="1"/>
  <c r="I86"/>
  <c r="AU86" s="1"/>
  <c r="BM86" s="1"/>
  <c r="J86"/>
  <c r="AV86" s="1"/>
  <c r="BN86" s="1"/>
  <c r="K86"/>
  <c r="AW86" s="1"/>
  <c r="BO86" s="1"/>
  <c r="L86"/>
  <c r="M86"/>
  <c r="AY86" s="1"/>
  <c r="BQ86" s="1"/>
  <c r="N86"/>
  <c r="O86"/>
  <c r="BA86" s="1"/>
  <c r="BS86" s="1"/>
  <c r="P86"/>
  <c r="Q86"/>
  <c r="BC86" s="1"/>
  <c r="BU86" s="1"/>
  <c r="R86"/>
  <c r="S86"/>
  <c r="BE86" s="1"/>
  <c r="BW86" s="1"/>
  <c r="AX86"/>
  <c r="BP86" s="1"/>
  <c r="AZ86"/>
  <c r="BR86" s="1"/>
  <c r="BB86"/>
  <c r="BT86" s="1"/>
  <c r="BD86"/>
  <c r="BV86" s="1"/>
  <c r="C87"/>
  <c r="AO87" s="1"/>
  <c r="D87"/>
  <c r="AP87" s="1"/>
  <c r="BH87" s="1"/>
  <c r="E87"/>
  <c r="AQ87" s="1"/>
  <c r="F87"/>
  <c r="AR87" s="1"/>
  <c r="G87"/>
  <c r="AS87" s="1"/>
  <c r="H87"/>
  <c r="AT87" s="1"/>
  <c r="I87"/>
  <c r="AU87" s="1"/>
  <c r="J87"/>
  <c r="AV87" s="1"/>
  <c r="K87"/>
  <c r="AW87" s="1"/>
  <c r="L87"/>
  <c r="AX87" s="1"/>
  <c r="M87"/>
  <c r="AY87" s="1"/>
  <c r="N87"/>
  <c r="AZ87" s="1"/>
  <c r="O87"/>
  <c r="BA87" s="1"/>
  <c r="P87"/>
  <c r="BB87" s="1"/>
  <c r="Q87"/>
  <c r="BC87" s="1"/>
  <c r="R87"/>
  <c r="BD87" s="1"/>
  <c r="S87"/>
  <c r="BE87" s="1"/>
  <c r="C88"/>
  <c r="AO88" s="1"/>
  <c r="D88"/>
  <c r="E88"/>
  <c r="AQ88" s="1"/>
  <c r="F88"/>
  <c r="AR88" s="1"/>
  <c r="G88"/>
  <c r="AS88" s="1"/>
  <c r="H88"/>
  <c r="AT88" s="1"/>
  <c r="I88"/>
  <c r="AU88" s="1"/>
  <c r="J88"/>
  <c r="AV88" s="1"/>
  <c r="K88"/>
  <c r="AW88" s="1"/>
  <c r="L88"/>
  <c r="AX88" s="1"/>
  <c r="M88"/>
  <c r="AY88" s="1"/>
  <c r="N88"/>
  <c r="AZ88" s="1"/>
  <c r="O88"/>
  <c r="BA88" s="1"/>
  <c r="P88"/>
  <c r="BB88" s="1"/>
  <c r="Q88"/>
  <c r="BC88" s="1"/>
  <c r="R88"/>
  <c r="BD88" s="1"/>
  <c r="S88"/>
  <c r="AP88"/>
  <c r="C89"/>
  <c r="D89"/>
  <c r="E89"/>
  <c r="AQ89" s="1"/>
  <c r="F89"/>
  <c r="AR89" s="1"/>
  <c r="G89"/>
  <c r="AS89" s="1"/>
  <c r="H89"/>
  <c r="I89"/>
  <c r="AU89" s="1"/>
  <c r="J89"/>
  <c r="AV89" s="1"/>
  <c r="K89"/>
  <c r="AW89" s="1"/>
  <c r="L89"/>
  <c r="M89"/>
  <c r="AY89" s="1"/>
  <c r="N89"/>
  <c r="AZ89" s="1"/>
  <c r="O89"/>
  <c r="BA89" s="1"/>
  <c r="P89"/>
  <c r="Q89"/>
  <c r="BC89" s="1"/>
  <c r="R89"/>
  <c r="BD89" s="1"/>
  <c r="S89"/>
  <c r="BE89" s="1"/>
  <c r="AP89"/>
  <c r="AT89"/>
  <c r="AX89"/>
  <c r="BB89"/>
  <c r="C90"/>
  <c r="AO90" s="1"/>
  <c r="D90"/>
  <c r="AP90" s="1"/>
  <c r="E90"/>
  <c r="AQ90" s="1"/>
  <c r="F90"/>
  <c r="AR90" s="1"/>
  <c r="G90"/>
  <c r="AS90" s="1"/>
  <c r="H90"/>
  <c r="AT90" s="1"/>
  <c r="I90"/>
  <c r="AU90" s="1"/>
  <c r="J90"/>
  <c r="AV90" s="1"/>
  <c r="K90"/>
  <c r="AW90" s="1"/>
  <c r="L90"/>
  <c r="AX90" s="1"/>
  <c r="M90"/>
  <c r="N90"/>
  <c r="AZ90" s="1"/>
  <c r="O90"/>
  <c r="BA90" s="1"/>
  <c r="P90"/>
  <c r="BB90" s="1"/>
  <c r="Q90"/>
  <c r="BC90" s="1"/>
  <c r="R90"/>
  <c r="BD90" s="1"/>
  <c r="S90"/>
  <c r="BE90" s="1"/>
  <c r="AY90"/>
  <c r="C91"/>
  <c r="I33" i="32" s="1"/>
  <c r="D91" i="33"/>
  <c r="I34" i="32" s="1"/>
  <c r="E91" i="33"/>
  <c r="I35" i="32" s="1"/>
  <c r="F91" i="33"/>
  <c r="AR91" s="1"/>
  <c r="G91"/>
  <c r="H91"/>
  <c r="AT91" s="1"/>
  <c r="I91"/>
  <c r="AU91" s="1"/>
  <c r="J91"/>
  <c r="AV91" s="1"/>
  <c r="K91"/>
  <c r="AW91" s="1"/>
  <c r="L91"/>
  <c r="AX91" s="1"/>
  <c r="M91"/>
  <c r="AY91" s="1"/>
  <c r="N91"/>
  <c r="AZ91" s="1"/>
  <c r="O91"/>
  <c r="P91"/>
  <c r="BB91" s="1"/>
  <c r="Q91"/>
  <c r="BC91" s="1"/>
  <c r="R91"/>
  <c r="BD91" s="1"/>
  <c r="S91"/>
  <c r="BE91" s="1"/>
  <c r="AS91"/>
  <c r="BA91"/>
  <c r="C92"/>
  <c r="AO92" s="1"/>
  <c r="D92"/>
  <c r="E92"/>
  <c r="F92"/>
  <c r="AR92" s="1"/>
  <c r="G92"/>
  <c r="AS92" s="1"/>
  <c r="H92"/>
  <c r="I92"/>
  <c r="AU92" s="1"/>
  <c r="J92"/>
  <c r="AV92" s="1"/>
  <c r="K92"/>
  <c r="AW92" s="1"/>
  <c r="L92"/>
  <c r="AX92" s="1"/>
  <c r="M92"/>
  <c r="AY92" s="1"/>
  <c r="N92"/>
  <c r="O92"/>
  <c r="BA92" s="1"/>
  <c r="P92"/>
  <c r="BB92" s="1"/>
  <c r="Q92"/>
  <c r="BC92" s="1"/>
  <c r="R92"/>
  <c r="BD92" s="1"/>
  <c r="S92"/>
  <c r="BE92" s="1"/>
  <c r="AP92"/>
  <c r="AT92"/>
  <c r="AZ92"/>
  <c r="C93"/>
  <c r="AO93" s="1"/>
  <c r="D93"/>
  <c r="AP93" s="1"/>
  <c r="E93"/>
  <c r="AQ93" s="1"/>
  <c r="F93"/>
  <c r="AR93" s="1"/>
  <c r="G93"/>
  <c r="AS93" s="1"/>
  <c r="H93"/>
  <c r="AT93" s="1"/>
  <c r="I93"/>
  <c r="AU93" s="1"/>
  <c r="J93"/>
  <c r="AV93" s="1"/>
  <c r="K93"/>
  <c r="AW93" s="1"/>
  <c r="L93"/>
  <c r="AX93" s="1"/>
  <c r="M93"/>
  <c r="AY93" s="1"/>
  <c r="N93"/>
  <c r="AZ93" s="1"/>
  <c r="O93"/>
  <c r="BA93" s="1"/>
  <c r="P93"/>
  <c r="BB93" s="1"/>
  <c r="Q93"/>
  <c r="BC93" s="1"/>
  <c r="R93"/>
  <c r="BD93" s="1"/>
  <c r="S93"/>
  <c r="BE93" s="1"/>
  <c r="C94"/>
  <c r="AO94" s="1"/>
  <c r="D94"/>
  <c r="AP94" s="1"/>
  <c r="E94"/>
  <c r="F94"/>
  <c r="AR94" s="1"/>
  <c r="G94"/>
  <c r="AS94" s="1"/>
  <c r="H94"/>
  <c r="AT94" s="1"/>
  <c r="I94"/>
  <c r="AU94" s="1"/>
  <c r="J94"/>
  <c r="AV94" s="1"/>
  <c r="K94"/>
  <c r="AW94" s="1"/>
  <c r="L94"/>
  <c r="AX94" s="1"/>
  <c r="M94"/>
  <c r="AY94" s="1"/>
  <c r="N94"/>
  <c r="AZ94" s="1"/>
  <c r="O94"/>
  <c r="BA94" s="1"/>
  <c r="P94"/>
  <c r="BB94" s="1"/>
  <c r="Q94"/>
  <c r="BC94" s="1"/>
  <c r="R94"/>
  <c r="BD94" s="1"/>
  <c r="S94"/>
  <c r="BE94" s="1"/>
  <c r="C95"/>
  <c r="AO95" s="1"/>
  <c r="D95"/>
  <c r="AP95" s="1"/>
  <c r="E95"/>
  <c r="AQ95" s="1"/>
  <c r="F95"/>
  <c r="AR95" s="1"/>
  <c r="G95"/>
  <c r="AS95" s="1"/>
  <c r="H95"/>
  <c r="AT95" s="1"/>
  <c r="I95"/>
  <c r="AU95" s="1"/>
  <c r="J95"/>
  <c r="AV95" s="1"/>
  <c r="K95"/>
  <c r="AW95" s="1"/>
  <c r="L95"/>
  <c r="AX95" s="1"/>
  <c r="M95"/>
  <c r="AY95" s="1"/>
  <c r="N95"/>
  <c r="AZ95" s="1"/>
  <c r="O95"/>
  <c r="BA95" s="1"/>
  <c r="P95"/>
  <c r="BB95" s="1"/>
  <c r="Q95"/>
  <c r="BC95" s="1"/>
  <c r="R95"/>
  <c r="BD95" s="1"/>
  <c r="S95"/>
  <c r="BE95" s="1"/>
  <c r="C96"/>
  <c r="D96"/>
  <c r="E96"/>
  <c r="AQ96" s="1"/>
  <c r="F96"/>
  <c r="AR96" s="1"/>
  <c r="G96"/>
  <c r="AS96" s="1"/>
  <c r="H96"/>
  <c r="AT96" s="1"/>
  <c r="I96"/>
  <c r="AU96" s="1"/>
  <c r="J96"/>
  <c r="AV96" s="1"/>
  <c r="K96"/>
  <c r="AW96" s="1"/>
  <c r="L96"/>
  <c r="AX96" s="1"/>
  <c r="M96"/>
  <c r="AY96" s="1"/>
  <c r="N96"/>
  <c r="AZ96" s="1"/>
  <c r="O96"/>
  <c r="BA96" s="1"/>
  <c r="P96"/>
  <c r="BB96" s="1"/>
  <c r="Q96"/>
  <c r="BC96" s="1"/>
  <c r="R96"/>
  <c r="BD96" s="1"/>
  <c r="S96"/>
  <c r="BE96" s="1"/>
  <c r="AP96"/>
  <c r="C97"/>
  <c r="D97"/>
  <c r="AP97" s="1"/>
  <c r="E97"/>
  <c r="AQ97" s="1"/>
  <c r="F97"/>
  <c r="AR97" s="1"/>
  <c r="G97"/>
  <c r="AS97" s="1"/>
  <c r="H97"/>
  <c r="AT97" s="1"/>
  <c r="I97"/>
  <c r="AU97" s="1"/>
  <c r="J97"/>
  <c r="AV97" s="1"/>
  <c r="K97"/>
  <c r="AW97" s="1"/>
  <c r="L97"/>
  <c r="AX97" s="1"/>
  <c r="M97"/>
  <c r="AY97" s="1"/>
  <c r="N97"/>
  <c r="AZ97" s="1"/>
  <c r="O97"/>
  <c r="BA97" s="1"/>
  <c r="P97"/>
  <c r="BB97" s="1"/>
  <c r="Q97"/>
  <c r="BC97" s="1"/>
  <c r="R97"/>
  <c r="BD97" s="1"/>
  <c r="S97"/>
  <c r="BE97" s="1"/>
  <c r="C98"/>
  <c r="D98"/>
  <c r="AP98" s="1"/>
  <c r="E98"/>
  <c r="AQ98" s="1"/>
  <c r="F98"/>
  <c r="AR98" s="1"/>
  <c r="G98"/>
  <c r="AS98" s="1"/>
  <c r="H98"/>
  <c r="I98"/>
  <c r="AU98" s="1"/>
  <c r="J98"/>
  <c r="AV98" s="1"/>
  <c r="K98"/>
  <c r="AW98" s="1"/>
  <c r="L98"/>
  <c r="AX98" s="1"/>
  <c r="M98"/>
  <c r="AY98" s="1"/>
  <c r="N98"/>
  <c r="AZ98" s="1"/>
  <c r="O98"/>
  <c r="BA98" s="1"/>
  <c r="P98"/>
  <c r="BB98" s="1"/>
  <c r="Q98"/>
  <c r="BC98" s="1"/>
  <c r="R98"/>
  <c r="BD98" s="1"/>
  <c r="S98"/>
  <c r="BE98" s="1"/>
  <c r="AT98"/>
  <c r="C99"/>
  <c r="AO99" s="1"/>
  <c r="D99"/>
  <c r="AP99" s="1"/>
  <c r="E99"/>
  <c r="AQ99" s="1"/>
  <c r="F99"/>
  <c r="AR99" s="1"/>
  <c r="G99"/>
  <c r="AS99" s="1"/>
  <c r="H99"/>
  <c r="AT99" s="1"/>
  <c r="I99"/>
  <c r="AU99" s="1"/>
  <c r="J99"/>
  <c r="AV99" s="1"/>
  <c r="K99"/>
  <c r="AW99" s="1"/>
  <c r="L99"/>
  <c r="AX99" s="1"/>
  <c r="M99"/>
  <c r="AY99" s="1"/>
  <c r="N99"/>
  <c r="AZ99" s="1"/>
  <c r="O99"/>
  <c r="BA99" s="1"/>
  <c r="P99"/>
  <c r="BB99" s="1"/>
  <c r="Q99"/>
  <c r="BC99" s="1"/>
  <c r="R99"/>
  <c r="BD99" s="1"/>
  <c r="S99"/>
  <c r="BE99" s="1"/>
  <c r="C100"/>
  <c r="D100"/>
  <c r="E100"/>
  <c r="AQ100" s="1"/>
  <c r="F100"/>
  <c r="AR100" s="1"/>
  <c r="G100"/>
  <c r="AS100" s="1"/>
  <c r="H100"/>
  <c r="AT100" s="1"/>
  <c r="I100"/>
  <c r="AU100" s="1"/>
  <c r="J100"/>
  <c r="AV100" s="1"/>
  <c r="K100"/>
  <c r="AW100" s="1"/>
  <c r="L100"/>
  <c r="AX100" s="1"/>
  <c r="M100"/>
  <c r="AY100" s="1"/>
  <c r="N100"/>
  <c r="AZ100" s="1"/>
  <c r="O100"/>
  <c r="BA100" s="1"/>
  <c r="P100"/>
  <c r="BB100" s="1"/>
  <c r="Q100"/>
  <c r="BC100" s="1"/>
  <c r="R100"/>
  <c r="BD100" s="1"/>
  <c r="S100"/>
  <c r="BE100" s="1"/>
  <c r="AP100"/>
  <c r="C101"/>
  <c r="D101"/>
  <c r="AP101" s="1"/>
  <c r="E101"/>
  <c r="AQ101" s="1"/>
  <c r="F101"/>
  <c r="AR101" s="1"/>
  <c r="G101"/>
  <c r="AS101" s="1"/>
  <c r="H101"/>
  <c r="AT101" s="1"/>
  <c r="I101"/>
  <c r="AU101" s="1"/>
  <c r="J101"/>
  <c r="AV101" s="1"/>
  <c r="K101"/>
  <c r="AW101" s="1"/>
  <c r="L101"/>
  <c r="AX101" s="1"/>
  <c r="M101"/>
  <c r="AY101" s="1"/>
  <c r="N101"/>
  <c r="AZ101" s="1"/>
  <c r="O101"/>
  <c r="BA101" s="1"/>
  <c r="P101"/>
  <c r="BB101" s="1"/>
  <c r="Q101"/>
  <c r="BC101" s="1"/>
  <c r="R101"/>
  <c r="BD101" s="1"/>
  <c r="S101"/>
  <c r="BE101" s="1"/>
  <c r="C102"/>
  <c r="AO102" s="1"/>
  <c r="D102"/>
  <c r="AP102" s="1"/>
  <c r="E102"/>
  <c r="AQ102" s="1"/>
  <c r="F102"/>
  <c r="AR102" s="1"/>
  <c r="G102"/>
  <c r="AS102" s="1"/>
  <c r="H102"/>
  <c r="AT102" s="1"/>
  <c r="I102"/>
  <c r="AU102" s="1"/>
  <c r="J102"/>
  <c r="AV102" s="1"/>
  <c r="K102"/>
  <c r="AW102" s="1"/>
  <c r="L102"/>
  <c r="AX102" s="1"/>
  <c r="M102"/>
  <c r="AY102" s="1"/>
  <c r="N102"/>
  <c r="AZ102" s="1"/>
  <c r="O102"/>
  <c r="BA102" s="1"/>
  <c r="P102"/>
  <c r="BB102" s="1"/>
  <c r="Q102"/>
  <c r="BC102" s="1"/>
  <c r="R102"/>
  <c r="BD102" s="1"/>
  <c r="S102"/>
  <c r="BE102" s="1"/>
  <c r="C103"/>
  <c r="D103"/>
  <c r="E103"/>
  <c r="AQ103" s="1"/>
  <c r="F103"/>
  <c r="AR103" s="1"/>
  <c r="G103"/>
  <c r="AS103" s="1"/>
  <c r="H103"/>
  <c r="AT103" s="1"/>
  <c r="I103"/>
  <c r="AU103" s="1"/>
  <c r="J103"/>
  <c r="AV103" s="1"/>
  <c r="K103"/>
  <c r="AW103" s="1"/>
  <c r="L103"/>
  <c r="AX103" s="1"/>
  <c r="M103"/>
  <c r="AY103" s="1"/>
  <c r="N103"/>
  <c r="AZ103" s="1"/>
  <c r="O103"/>
  <c r="BA103" s="1"/>
  <c r="P103"/>
  <c r="BB103" s="1"/>
  <c r="Q103"/>
  <c r="BC103" s="1"/>
  <c r="R103"/>
  <c r="BD103" s="1"/>
  <c r="S103"/>
  <c r="BE103" s="1"/>
  <c r="AP103"/>
  <c r="C104"/>
  <c r="AO104" s="1"/>
  <c r="D104"/>
  <c r="AP104" s="1"/>
  <c r="E104"/>
  <c r="AQ104" s="1"/>
  <c r="F104"/>
  <c r="AR104" s="1"/>
  <c r="G104"/>
  <c r="AS104" s="1"/>
  <c r="H104"/>
  <c r="AT104" s="1"/>
  <c r="I104"/>
  <c r="AU104" s="1"/>
  <c r="J104"/>
  <c r="AV104" s="1"/>
  <c r="K104"/>
  <c r="AW104" s="1"/>
  <c r="L104"/>
  <c r="AX104" s="1"/>
  <c r="M104"/>
  <c r="AY104" s="1"/>
  <c r="N104"/>
  <c r="AZ104" s="1"/>
  <c r="O104"/>
  <c r="BA104" s="1"/>
  <c r="P104"/>
  <c r="BB104" s="1"/>
  <c r="Q104"/>
  <c r="BC104" s="1"/>
  <c r="R104"/>
  <c r="BD104" s="1"/>
  <c r="S104"/>
  <c r="BE104" s="1"/>
  <c r="C105"/>
  <c r="D105"/>
  <c r="AP105" s="1"/>
  <c r="E105"/>
  <c r="AQ105" s="1"/>
  <c r="F105"/>
  <c r="AR105" s="1"/>
  <c r="G105"/>
  <c r="AS105" s="1"/>
  <c r="H105"/>
  <c r="AT105" s="1"/>
  <c r="I105"/>
  <c r="AU105" s="1"/>
  <c r="J105"/>
  <c r="AV105" s="1"/>
  <c r="K105"/>
  <c r="AW105" s="1"/>
  <c r="L105"/>
  <c r="M105"/>
  <c r="AY105" s="1"/>
  <c r="N105"/>
  <c r="AZ105" s="1"/>
  <c r="O105"/>
  <c r="BA105" s="1"/>
  <c r="P105"/>
  <c r="BB105" s="1"/>
  <c r="Q105"/>
  <c r="BC105" s="1"/>
  <c r="R105"/>
  <c r="BD105" s="1"/>
  <c r="S105"/>
  <c r="BE105" s="1"/>
  <c r="AX105"/>
  <c r="C106"/>
  <c r="AO106" s="1"/>
  <c r="D106"/>
  <c r="AP106" s="1"/>
  <c r="E106"/>
  <c r="AQ106" s="1"/>
  <c r="F106"/>
  <c r="AR106" s="1"/>
  <c r="G106"/>
  <c r="AS106" s="1"/>
  <c r="H106"/>
  <c r="AT106" s="1"/>
  <c r="I106"/>
  <c r="AU106" s="1"/>
  <c r="J106"/>
  <c r="AV106" s="1"/>
  <c r="K106"/>
  <c r="AW106" s="1"/>
  <c r="L106"/>
  <c r="AX106" s="1"/>
  <c r="M106"/>
  <c r="AY106" s="1"/>
  <c r="N106"/>
  <c r="AZ106" s="1"/>
  <c r="O106"/>
  <c r="BA106" s="1"/>
  <c r="P106"/>
  <c r="BB106" s="1"/>
  <c r="Q106"/>
  <c r="BC106" s="1"/>
  <c r="R106"/>
  <c r="BD106" s="1"/>
  <c r="S106"/>
  <c r="BE106" s="1"/>
  <c r="C107"/>
  <c r="D107"/>
  <c r="AP107" s="1"/>
  <c r="E107"/>
  <c r="AQ107" s="1"/>
  <c r="F107"/>
  <c r="AR107" s="1"/>
  <c r="G107"/>
  <c r="AS107" s="1"/>
  <c r="H107"/>
  <c r="I107"/>
  <c r="AU107" s="1"/>
  <c r="J107"/>
  <c r="AV107" s="1"/>
  <c r="K107"/>
  <c r="AW107" s="1"/>
  <c r="L107"/>
  <c r="AX107" s="1"/>
  <c r="M107"/>
  <c r="AY107" s="1"/>
  <c r="N107"/>
  <c r="AZ107" s="1"/>
  <c r="O107"/>
  <c r="BA107" s="1"/>
  <c r="P107"/>
  <c r="BB107" s="1"/>
  <c r="Q107"/>
  <c r="BC107" s="1"/>
  <c r="R107"/>
  <c r="BD107" s="1"/>
  <c r="S107"/>
  <c r="BE107" s="1"/>
  <c r="AT107"/>
  <c r="C108"/>
  <c r="AO108" s="1"/>
  <c r="D108"/>
  <c r="AP108" s="1"/>
  <c r="E108"/>
  <c r="AQ108" s="1"/>
  <c r="F108"/>
  <c r="AR108" s="1"/>
  <c r="G108"/>
  <c r="AS108" s="1"/>
  <c r="H108"/>
  <c r="AT108" s="1"/>
  <c r="I108"/>
  <c r="AU108" s="1"/>
  <c r="J108"/>
  <c r="AV108" s="1"/>
  <c r="K108"/>
  <c r="AW108" s="1"/>
  <c r="L108"/>
  <c r="AX108" s="1"/>
  <c r="M108"/>
  <c r="AY108" s="1"/>
  <c r="N108"/>
  <c r="AZ108" s="1"/>
  <c r="O108"/>
  <c r="P108"/>
  <c r="BB108" s="1"/>
  <c r="Q108"/>
  <c r="BC108" s="1"/>
  <c r="R108"/>
  <c r="BD108" s="1"/>
  <c r="S108"/>
  <c r="BE108" s="1"/>
  <c r="BA108"/>
  <c r="C109"/>
  <c r="D109"/>
  <c r="E109"/>
  <c r="AQ109" s="1"/>
  <c r="F109"/>
  <c r="AR109" s="1"/>
  <c r="G109"/>
  <c r="AS109" s="1"/>
  <c r="H109"/>
  <c r="AT109" s="1"/>
  <c r="I109"/>
  <c r="AU109" s="1"/>
  <c r="J109"/>
  <c r="AV109" s="1"/>
  <c r="K109"/>
  <c r="AW109" s="1"/>
  <c r="L109"/>
  <c r="AX109" s="1"/>
  <c r="M109"/>
  <c r="AY109" s="1"/>
  <c r="N109"/>
  <c r="AZ109" s="1"/>
  <c r="O109"/>
  <c r="BA109" s="1"/>
  <c r="P109"/>
  <c r="BB109" s="1"/>
  <c r="Q109"/>
  <c r="BC109" s="1"/>
  <c r="R109"/>
  <c r="BD109" s="1"/>
  <c r="S109"/>
  <c r="BE109" s="1"/>
  <c r="AP109"/>
  <c r="C110"/>
  <c r="AO110" s="1"/>
  <c r="D110"/>
  <c r="AP110" s="1"/>
  <c r="E110"/>
  <c r="AQ110" s="1"/>
  <c r="F110"/>
  <c r="AR110" s="1"/>
  <c r="G110"/>
  <c r="AS110" s="1"/>
  <c r="H110"/>
  <c r="AT110" s="1"/>
  <c r="I110"/>
  <c r="AU110" s="1"/>
  <c r="J110"/>
  <c r="AV110" s="1"/>
  <c r="K110"/>
  <c r="AW110" s="1"/>
  <c r="L110"/>
  <c r="AX110" s="1"/>
  <c r="M110"/>
  <c r="AY110" s="1"/>
  <c r="N110"/>
  <c r="AZ110" s="1"/>
  <c r="O110"/>
  <c r="BA110" s="1"/>
  <c r="P110"/>
  <c r="BB110" s="1"/>
  <c r="Q110"/>
  <c r="BC110" s="1"/>
  <c r="R110"/>
  <c r="BD110" s="1"/>
  <c r="S110"/>
  <c r="BE110" s="1"/>
  <c r="C111"/>
  <c r="D111"/>
  <c r="AP111" s="1"/>
  <c r="E111"/>
  <c r="AQ111" s="1"/>
  <c r="F111"/>
  <c r="AR111" s="1"/>
  <c r="G111"/>
  <c r="AS111" s="1"/>
  <c r="H111"/>
  <c r="I111"/>
  <c r="AU111" s="1"/>
  <c r="J111"/>
  <c r="AV111" s="1"/>
  <c r="K111"/>
  <c r="AW111" s="1"/>
  <c r="L111"/>
  <c r="AX111" s="1"/>
  <c r="M111"/>
  <c r="AY111" s="1"/>
  <c r="N111"/>
  <c r="AZ111" s="1"/>
  <c r="O111"/>
  <c r="BA111" s="1"/>
  <c r="P111"/>
  <c r="BB111" s="1"/>
  <c r="Q111"/>
  <c r="BC111" s="1"/>
  <c r="R111"/>
  <c r="BD111" s="1"/>
  <c r="S111"/>
  <c r="BE111" s="1"/>
  <c r="AT111"/>
  <c r="C112"/>
  <c r="AO112" s="1"/>
  <c r="D112"/>
  <c r="AP112" s="1"/>
  <c r="E112"/>
  <c r="AQ112" s="1"/>
  <c r="F112"/>
  <c r="AR112" s="1"/>
  <c r="G112"/>
  <c r="AS112" s="1"/>
  <c r="H112"/>
  <c r="AT112" s="1"/>
  <c r="I112"/>
  <c r="AU112" s="1"/>
  <c r="J112"/>
  <c r="AV112" s="1"/>
  <c r="K112"/>
  <c r="AW112" s="1"/>
  <c r="L112"/>
  <c r="AX112" s="1"/>
  <c r="M112"/>
  <c r="AY112" s="1"/>
  <c r="N112"/>
  <c r="AZ112" s="1"/>
  <c r="O112"/>
  <c r="BA112" s="1"/>
  <c r="P112"/>
  <c r="BB112" s="1"/>
  <c r="Q112"/>
  <c r="BC112" s="1"/>
  <c r="R112"/>
  <c r="BD112" s="1"/>
  <c r="S112"/>
  <c r="BE112" s="1"/>
  <c r="C113"/>
  <c r="D113"/>
  <c r="AP113" s="1"/>
  <c r="E113"/>
  <c r="AQ113" s="1"/>
  <c r="F113"/>
  <c r="AR113" s="1"/>
  <c r="G113"/>
  <c r="AS113" s="1"/>
  <c r="H113"/>
  <c r="AT113" s="1"/>
  <c r="I113"/>
  <c r="AU113" s="1"/>
  <c r="J113"/>
  <c r="AV113" s="1"/>
  <c r="K113"/>
  <c r="AW113" s="1"/>
  <c r="L113"/>
  <c r="M113"/>
  <c r="AY113" s="1"/>
  <c r="N113"/>
  <c r="AZ113" s="1"/>
  <c r="O113"/>
  <c r="BA113" s="1"/>
  <c r="P113"/>
  <c r="BB113" s="1"/>
  <c r="Q113"/>
  <c r="BC113" s="1"/>
  <c r="R113"/>
  <c r="BD113" s="1"/>
  <c r="S113"/>
  <c r="BE113" s="1"/>
  <c r="AX113"/>
  <c r="C114"/>
  <c r="AO114" s="1"/>
  <c r="D114"/>
  <c r="AP114" s="1"/>
  <c r="E114"/>
  <c r="AQ114" s="1"/>
  <c r="F114"/>
  <c r="AR114" s="1"/>
  <c r="G114"/>
  <c r="AS114" s="1"/>
  <c r="H114"/>
  <c r="AT114" s="1"/>
  <c r="I114"/>
  <c r="AU114" s="1"/>
  <c r="J114"/>
  <c r="AV114" s="1"/>
  <c r="K114"/>
  <c r="AW114" s="1"/>
  <c r="L114"/>
  <c r="AX114" s="1"/>
  <c r="M114"/>
  <c r="AY114" s="1"/>
  <c r="N114"/>
  <c r="AZ114" s="1"/>
  <c r="O114"/>
  <c r="BA114" s="1"/>
  <c r="P114"/>
  <c r="BB114" s="1"/>
  <c r="Q114"/>
  <c r="BC114" s="1"/>
  <c r="R114"/>
  <c r="BD114" s="1"/>
  <c r="S114"/>
  <c r="BE114" s="1"/>
  <c r="C115"/>
  <c r="D115"/>
  <c r="E115"/>
  <c r="AQ115" s="1"/>
  <c r="F115"/>
  <c r="AR115" s="1"/>
  <c r="G115"/>
  <c r="AS115" s="1"/>
  <c r="H115"/>
  <c r="AT115" s="1"/>
  <c r="I115"/>
  <c r="AU115" s="1"/>
  <c r="J115"/>
  <c r="AV115" s="1"/>
  <c r="K115"/>
  <c r="AW115" s="1"/>
  <c r="L115"/>
  <c r="AX115" s="1"/>
  <c r="M115"/>
  <c r="AY115" s="1"/>
  <c r="N115"/>
  <c r="AZ115" s="1"/>
  <c r="O115"/>
  <c r="BA115" s="1"/>
  <c r="P115"/>
  <c r="BB115" s="1"/>
  <c r="Q115"/>
  <c r="BC115" s="1"/>
  <c r="R115"/>
  <c r="BD115" s="1"/>
  <c r="S115"/>
  <c r="BE115" s="1"/>
  <c r="AP115"/>
  <c r="C116"/>
  <c r="AO116" s="1"/>
  <c r="D116"/>
  <c r="AP116" s="1"/>
  <c r="E116"/>
  <c r="AQ116" s="1"/>
  <c r="F116"/>
  <c r="AR116" s="1"/>
  <c r="G116"/>
  <c r="AS116" s="1"/>
  <c r="H116"/>
  <c r="AT116" s="1"/>
  <c r="I116"/>
  <c r="AU116" s="1"/>
  <c r="J116"/>
  <c r="AV116" s="1"/>
  <c r="K116"/>
  <c r="AW116" s="1"/>
  <c r="L116"/>
  <c r="AX116" s="1"/>
  <c r="M116"/>
  <c r="AY116" s="1"/>
  <c r="N116"/>
  <c r="AZ116" s="1"/>
  <c r="O116"/>
  <c r="BA116" s="1"/>
  <c r="P116"/>
  <c r="BB116" s="1"/>
  <c r="Q116"/>
  <c r="BC116" s="1"/>
  <c r="R116"/>
  <c r="BD116" s="1"/>
  <c r="S116"/>
  <c r="BE116" s="1"/>
  <c r="C117"/>
  <c r="D117"/>
  <c r="AP117" s="1"/>
  <c r="E117"/>
  <c r="AQ117" s="1"/>
  <c r="F117"/>
  <c r="AR117" s="1"/>
  <c r="G117"/>
  <c r="AS117" s="1"/>
  <c r="H117"/>
  <c r="AT117" s="1"/>
  <c r="I117"/>
  <c r="AU117" s="1"/>
  <c r="J117"/>
  <c r="AV117" s="1"/>
  <c r="K117"/>
  <c r="AW117" s="1"/>
  <c r="L117"/>
  <c r="M117"/>
  <c r="AY117" s="1"/>
  <c r="N117"/>
  <c r="AZ117" s="1"/>
  <c r="O117"/>
  <c r="BA117" s="1"/>
  <c r="P117"/>
  <c r="BB117" s="1"/>
  <c r="Q117"/>
  <c r="BC117" s="1"/>
  <c r="R117"/>
  <c r="BD117" s="1"/>
  <c r="S117"/>
  <c r="BE117" s="1"/>
  <c r="AX117"/>
  <c r="C118"/>
  <c r="AO118" s="1"/>
  <c r="D118"/>
  <c r="AP118" s="1"/>
  <c r="E118"/>
  <c r="AQ118" s="1"/>
  <c r="F118"/>
  <c r="AR118" s="1"/>
  <c r="G118"/>
  <c r="AS118" s="1"/>
  <c r="H118"/>
  <c r="AT118" s="1"/>
  <c r="I118"/>
  <c r="AU118" s="1"/>
  <c r="J118"/>
  <c r="AV118" s="1"/>
  <c r="K118"/>
  <c r="AW118" s="1"/>
  <c r="L118"/>
  <c r="AX118" s="1"/>
  <c r="M118"/>
  <c r="AY118" s="1"/>
  <c r="N118"/>
  <c r="AZ118" s="1"/>
  <c r="O118"/>
  <c r="BA118" s="1"/>
  <c r="P118"/>
  <c r="BB118" s="1"/>
  <c r="Q118"/>
  <c r="BC118" s="1"/>
  <c r="R118"/>
  <c r="BD118" s="1"/>
  <c r="S118"/>
  <c r="BE118" s="1"/>
  <c r="C119"/>
  <c r="D119"/>
  <c r="AP119" s="1"/>
  <c r="E119"/>
  <c r="AQ119" s="1"/>
  <c r="F119"/>
  <c r="AR119" s="1"/>
  <c r="G119"/>
  <c r="AS119" s="1"/>
  <c r="H119"/>
  <c r="AT119" s="1"/>
  <c r="I119"/>
  <c r="AU119" s="1"/>
  <c r="J119"/>
  <c r="AV119" s="1"/>
  <c r="K119"/>
  <c r="AW119" s="1"/>
  <c r="L119"/>
  <c r="AX119" s="1"/>
  <c r="M119"/>
  <c r="AY119" s="1"/>
  <c r="N119"/>
  <c r="AZ119" s="1"/>
  <c r="O119"/>
  <c r="BA119" s="1"/>
  <c r="P119"/>
  <c r="Q119"/>
  <c r="BC119" s="1"/>
  <c r="R119"/>
  <c r="BD119" s="1"/>
  <c r="S119"/>
  <c r="BE119" s="1"/>
  <c r="BB119"/>
  <c r="C120"/>
  <c r="AO120" s="1"/>
  <c r="D120"/>
  <c r="AP120" s="1"/>
  <c r="E120"/>
  <c r="AQ120" s="1"/>
  <c r="F120"/>
  <c r="AR120" s="1"/>
  <c r="G120"/>
  <c r="AS120" s="1"/>
  <c r="H120"/>
  <c r="AT120" s="1"/>
  <c r="I120"/>
  <c r="AU120" s="1"/>
  <c r="J120"/>
  <c r="AV120" s="1"/>
  <c r="K120"/>
  <c r="AW120" s="1"/>
  <c r="L120"/>
  <c r="AX120" s="1"/>
  <c r="M120"/>
  <c r="AY120" s="1"/>
  <c r="N120"/>
  <c r="AZ120" s="1"/>
  <c r="O120"/>
  <c r="BA120" s="1"/>
  <c r="P120"/>
  <c r="BB120" s="1"/>
  <c r="Q120"/>
  <c r="BC120" s="1"/>
  <c r="R120"/>
  <c r="BD120" s="1"/>
  <c r="S120"/>
  <c r="BE120" s="1"/>
  <c r="C121"/>
  <c r="D121"/>
  <c r="E121"/>
  <c r="F121"/>
  <c r="G121"/>
  <c r="H121"/>
  <c r="I121"/>
  <c r="J121"/>
  <c r="K121"/>
  <c r="N121"/>
  <c r="AO121"/>
  <c r="AP121"/>
  <c r="AQ121"/>
  <c r="AR121"/>
  <c r="AS121"/>
  <c r="AT121"/>
  <c r="AU121"/>
  <c r="AV121"/>
  <c r="AW121"/>
  <c r="AX121"/>
  <c r="AY121"/>
  <c r="AZ121"/>
  <c r="BA121"/>
  <c r="BB121"/>
  <c r="BC121"/>
  <c r="BD121"/>
  <c r="BE121"/>
  <c r="C122"/>
  <c r="AO122" s="1"/>
  <c r="D122"/>
  <c r="AP122" s="1"/>
  <c r="E122"/>
  <c r="AQ122" s="1"/>
  <c r="F122"/>
  <c r="AR122" s="1"/>
  <c r="G122"/>
  <c r="AS122" s="1"/>
  <c r="H122"/>
  <c r="AT122" s="1"/>
  <c r="I122"/>
  <c r="AU122" s="1"/>
  <c r="J122"/>
  <c r="AV122" s="1"/>
  <c r="K122"/>
  <c r="AW122" s="1"/>
  <c r="L122"/>
  <c r="AX122" s="1"/>
  <c r="M122"/>
  <c r="AY122" s="1"/>
  <c r="N122"/>
  <c r="AZ122" s="1"/>
  <c r="O122"/>
  <c r="BA122" s="1"/>
  <c r="P122"/>
  <c r="BB122" s="1"/>
  <c r="Q122"/>
  <c r="BC122" s="1"/>
  <c r="R122"/>
  <c r="BD122" s="1"/>
  <c r="S122"/>
  <c r="BE122" s="1"/>
  <c r="C123"/>
  <c r="AO123" s="1"/>
  <c r="D123"/>
  <c r="AP123" s="1"/>
  <c r="E123"/>
  <c r="AQ123" s="1"/>
  <c r="F123"/>
  <c r="AR123" s="1"/>
  <c r="G123"/>
  <c r="AS123" s="1"/>
  <c r="H123"/>
  <c r="AT123" s="1"/>
  <c r="I123"/>
  <c r="AU123" s="1"/>
  <c r="J123"/>
  <c r="AV123" s="1"/>
  <c r="K123"/>
  <c r="AW123" s="1"/>
  <c r="L123"/>
  <c r="AX123" s="1"/>
  <c r="M123"/>
  <c r="AY123" s="1"/>
  <c r="N123"/>
  <c r="AZ123" s="1"/>
  <c r="O123"/>
  <c r="BA123" s="1"/>
  <c r="P123"/>
  <c r="BB123" s="1"/>
  <c r="Q123"/>
  <c r="BC123" s="1"/>
  <c r="R123"/>
  <c r="BD123" s="1"/>
  <c r="S123"/>
  <c r="BE123" s="1"/>
  <c r="C124"/>
  <c r="AO124" s="1"/>
  <c r="D124"/>
  <c r="AP124" s="1"/>
  <c r="E124"/>
  <c r="AQ124" s="1"/>
  <c r="F124"/>
  <c r="AR124" s="1"/>
  <c r="G124"/>
  <c r="AS124" s="1"/>
  <c r="H124"/>
  <c r="AT124" s="1"/>
  <c r="I124"/>
  <c r="AU124" s="1"/>
  <c r="J124"/>
  <c r="AV124" s="1"/>
  <c r="K124"/>
  <c r="AW124" s="1"/>
  <c r="L124"/>
  <c r="AX124" s="1"/>
  <c r="M124"/>
  <c r="AY124" s="1"/>
  <c r="N124"/>
  <c r="AZ124" s="1"/>
  <c r="O124"/>
  <c r="BA124" s="1"/>
  <c r="P124"/>
  <c r="BB124" s="1"/>
  <c r="Q124"/>
  <c r="BC124" s="1"/>
  <c r="R124"/>
  <c r="BD124" s="1"/>
  <c r="S124"/>
  <c r="BE124" s="1"/>
  <c r="C125"/>
  <c r="AO125" s="1"/>
  <c r="D125"/>
  <c r="AP125" s="1"/>
  <c r="E125"/>
  <c r="AQ125" s="1"/>
  <c r="F125"/>
  <c r="AR125" s="1"/>
  <c r="G125"/>
  <c r="AS125" s="1"/>
  <c r="H125"/>
  <c r="AT125" s="1"/>
  <c r="I125"/>
  <c r="AU125" s="1"/>
  <c r="J125"/>
  <c r="AV125" s="1"/>
  <c r="K125"/>
  <c r="AW125" s="1"/>
  <c r="L125"/>
  <c r="AX125" s="1"/>
  <c r="M125"/>
  <c r="AY125" s="1"/>
  <c r="N125"/>
  <c r="AZ125" s="1"/>
  <c r="O125"/>
  <c r="BA125" s="1"/>
  <c r="P125"/>
  <c r="BB125" s="1"/>
  <c r="Q125"/>
  <c r="BC125" s="1"/>
  <c r="R125"/>
  <c r="BD125" s="1"/>
  <c r="S125"/>
  <c r="BE125" s="1"/>
  <c r="C126"/>
  <c r="AO126" s="1"/>
  <c r="D126"/>
  <c r="AP126" s="1"/>
  <c r="E126"/>
  <c r="AQ126" s="1"/>
  <c r="F126"/>
  <c r="AR126" s="1"/>
  <c r="G126"/>
  <c r="AS126" s="1"/>
  <c r="H126"/>
  <c r="AT126" s="1"/>
  <c r="I126"/>
  <c r="AU126" s="1"/>
  <c r="J126"/>
  <c r="AV126" s="1"/>
  <c r="K126"/>
  <c r="AW126" s="1"/>
  <c r="L126"/>
  <c r="AX126" s="1"/>
  <c r="M126"/>
  <c r="AY126" s="1"/>
  <c r="N126"/>
  <c r="AZ126" s="1"/>
  <c r="O126"/>
  <c r="BA126" s="1"/>
  <c r="P126"/>
  <c r="BB126" s="1"/>
  <c r="Q126"/>
  <c r="BC126" s="1"/>
  <c r="R126"/>
  <c r="BD126" s="1"/>
  <c r="S126"/>
  <c r="BE126" s="1"/>
  <c r="C127"/>
  <c r="AO127" s="1"/>
  <c r="D127"/>
  <c r="AP127" s="1"/>
  <c r="E127"/>
  <c r="AQ127" s="1"/>
  <c r="F127"/>
  <c r="AR127" s="1"/>
  <c r="G127"/>
  <c r="AS127" s="1"/>
  <c r="H127"/>
  <c r="AT127" s="1"/>
  <c r="I127"/>
  <c r="AU127" s="1"/>
  <c r="J127"/>
  <c r="AV127" s="1"/>
  <c r="K127"/>
  <c r="AW127" s="1"/>
  <c r="L127"/>
  <c r="AX127" s="1"/>
  <c r="M127"/>
  <c r="AY127" s="1"/>
  <c r="N127"/>
  <c r="AZ127" s="1"/>
  <c r="O127"/>
  <c r="BA127" s="1"/>
  <c r="P127"/>
  <c r="BB127" s="1"/>
  <c r="Q127"/>
  <c r="BC127" s="1"/>
  <c r="R127"/>
  <c r="BD127" s="1"/>
  <c r="S127"/>
  <c r="BE127" s="1"/>
  <c r="C128"/>
  <c r="AO128" s="1"/>
  <c r="D128"/>
  <c r="AP128" s="1"/>
  <c r="E128"/>
  <c r="AQ128" s="1"/>
  <c r="F128"/>
  <c r="AR128" s="1"/>
  <c r="G128"/>
  <c r="AS128" s="1"/>
  <c r="H128"/>
  <c r="AT128" s="1"/>
  <c r="I128"/>
  <c r="AU128" s="1"/>
  <c r="J128"/>
  <c r="AV128" s="1"/>
  <c r="K128"/>
  <c r="AW128" s="1"/>
  <c r="L128"/>
  <c r="AX128" s="1"/>
  <c r="M128"/>
  <c r="AY128" s="1"/>
  <c r="N128"/>
  <c r="AZ128" s="1"/>
  <c r="O128"/>
  <c r="BA128" s="1"/>
  <c r="P128"/>
  <c r="BB128" s="1"/>
  <c r="Q128"/>
  <c r="BC128" s="1"/>
  <c r="R128"/>
  <c r="BD128" s="1"/>
  <c r="S128"/>
  <c r="BE128" s="1"/>
  <c r="C129"/>
  <c r="AO129" s="1"/>
  <c r="D129"/>
  <c r="AP129" s="1"/>
  <c r="E129"/>
  <c r="AQ129" s="1"/>
  <c r="F129"/>
  <c r="AR129" s="1"/>
  <c r="G129"/>
  <c r="AS129" s="1"/>
  <c r="H129"/>
  <c r="AT129" s="1"/>
  <c r="I129"/>
  <c r="AU129" s="1"/>
  <c r="J129"/>
  <c r="AV129" s="1"/>
  <c r="K129"/>
  <c r="AW129" s="1"/>
  <c r="L129"/>
  <c r="AX129" s="1"/>
  <c r="M129"/>
  <c r="AY129" s="1"/>
  <c r="N129"/>
  <c r="AZ129" s="1"/>
  <c r="O129"/>
  <c r="BA129" s="1"/>
  <c r="P129"/>
  <c r="BB129" s="1"/>
  <c r="Q129"/>
  <c r="BC129" s="1"/>
  <c r="R129"/>
  <c r="BD129" s="1"/>
  <c r="S129"/>
  <c r="BE129" s="1"/>
  <c r="C130"/>
  <c r="AO130" s="1"/>
  <c r="D130"/>
  <c r="AP130" s="1"/>
  <c r="E130"/>
  <c r="AQ130" s="1"/>
  <c r="F130"/>
  <c r="AR130" s="1"/>
  <c r="G130"/>
  <c r="AS130" s="1"/>
  <c r="H130"/>
  <c r="AT130" s="1"/>
  <c r="I130"/>
  <c r="AU130" s="1"/>
  <c r="J130"/>
  <c r="AV130" s="1"/>
  <c r="K130"/>
  <c r="AW130" s="1"/>
  <c r="L130"/>
  <c r="AX130" s="1"/>
  <c r="M130"/>
  <c r="AY130" s="1"/>
  <c r="N130"/>
  <c r="AZ130" s="1"/>
  <c r="O130"/>
  <c r="BA130" s="1"/>
  <c r="P130"/>
  <c r="BB130" s="1"/>
  <c r="Q130"/>
  <c r="BC130" s="1"/>
  <c r="R130"/>
  <c r="BD130" s="1"/>
  <c r="S130"/>
  <c r="BE130" s="1"/>
  <c r="C131"/>
  <c r="AO131" s="1"/>
  <c r="D131"/>
  <c r="AP131" s="1"/>
  <c r="E131"/>
  <c r="AQ131" s="1"/>
  <c r="F131"/>
  <c r="AR131" s="1"/>
  <c r="G131"/>
  <c r="AS131" s="1"/>
  <c r="H131"/>
  <c r="AT131" s="1"/>
  <c r="I131"/>
  <c r="AU131" s="1"/>
  <c r="J131"/>
  <c r="AV131" s="1"/>
  <c r="K131"/>
  <c r="AW131" s="1"/>
  <c r="L131"/>
  <c r="AX131" s="1"/>
  <c r="M131"/>
  <c r="AY131" s="1"/>
  <c r="N131"/>
  <c r="AZ131" s="1"/>
  <c r="O131"/>
  <c r="BA131" s="1"/>
  <c r="P131"/>
  <c r="BB131" s="1"/>
  <c r="Q131"/>
  <c r="BC131" s="1"/>
  <c r="R131"/>
  <c r="BD131" s="1"/>
  <c r="S131"/>
  <c r="BE131" s="1"/>
  <c r="C132"/>
  <c r="AO132" s="1"/>
  <c r="D132"/>
  <c r="AP132" s="1"/>
  <c r="E132"/>
  <c r="AQ132" s="1"/>
  <c r="F132"/>
  <c r="AR132" s="1"/>
  <c r="G132"/>
  <c r="AS132" s="1"/>
  <c r="H132"/>
  <c r="AT132" s="1"/>
  <c r="I132"/>
  <c r="AU132" s="1"/>
  <c r="J132"/>
  <c r="AV132" s="1"/>
  <c r="K132"/>
  <c r="AW132" s="1"/>
  <c r="L132"/>
  <c r="AX132" s="1"/>
  <c r="M132"/>
  <c r="AY132" s="1"/>
  <c r="N132"/>
  <c r="AZ132" s="1"/>
  <c r="O132"/>
  <c r="BA132" s="1"/>
  <c r="P132"/>
  <c r="BB132" s="1"/>
  <c r="Q132"/>
  <c r="BC132" s="1"/>
  <c r="R132"/>
  <c r="BD132" s="1"/>
  <c r="S132"/>
  <c r="BE132" s="1"/>
  <c r="C133"/>
  <c r="AO133" s="1"/>
  <c r="D133"/>
  <c r="AP133" s="1"/>
  <c r="E133"/>
  <c r="AQ133" s="1"/>
  <c r="F133"/>
  <c r="AR133" s="1"/>
  <c r="G133"/>
  <c r="AS133" s="1"/>
  <c r="H133"/>
  <c r="AT133" s="1"/>
  <c r="I133"/>
  <c r="AU133" s="1"/>
  <c r="J133"/>
  <c r="AV133" s="1"/>
  <c r="K133"/>
  <c r="AW133" s="1"/>
  <c r="L133"/>
  <c r="AX133" s="1"/>
  <c r="M133"/>
  <c r="AY133" s="1"/>
  <c r="N133"/>
  <c r="AZ133" s="1"/>
  <c r="O133"/>
  <c r="BA133" s="1"/>
  <c r="P133"/>
  <c r="BB133" s="1"/>
  <c r="Q133"/>
  <c r="BC133" s="1"/>
  <c r="R133"/>
  <c r="BD133" s="1"/>
  <c r="S133"/>
  <c r="BE133" s="1"/>
  <c r="C134"/>
  <c r="AO134" s="1"/>
  <c r="D134"/>
  <c r="AP134" s="1"/>
  <c r="E134"/>
  <c r="AQ134" s="1"/>
  <c r="F134"/>
  <c r="AR134" s="1"/>
  <c r="G134"/>
  <c r="AS134" s="1"/>
  <c r="H134"/>
  <c r="AT134" s="1"/>
  <c r="I134"/>
  <c r="AU134" s="1"/>
  <c r="J134"/>
  <c r="AV134" s="1"/>
  <c r="K134"/>
  <c r="AW134" s="1"/>
  <c r="L134"/>
  <c r="AX134" s="1"/>
  <c r="M134"/>
  <c r="AY134" s="1"/>
  <c r="N134"/>
  <c r="AZ134" s="1"/>
  <c r="O134"/>
  <c r="BA134" s="1"/>
  <c r="P134"/>
  <c r="BB134" s="1"/>
  <c r="Q134"/>
  <c r="BC134" s="1"/>
  <c r="R134"/>
  <c r="BD134" s="1"/>
  <c r="S134"/>
  <c r="BE134" s="1"/>
  <c r="C135"/>
  <c r="AO135" s="1"/>
  <c r="D135"/>
  <c r="AP135" s="1"/>
  <c r="E135"/>
  <c r="AQ135" s="1"/>
  <c r="F135"/>
  <c r="AR135" s="1"/>
  <c r="G135"/>
  <c r="AS135" s="1"/>
  <c r="H135"/>
  <c r="AT135" s="1"/>
  <c r="I135"/>
  <c r="AU135" s="1"/>
  <c r="J135"/>
  <c r="AV135" s="1"/>
  <c r="K135"/>
  <c r="AW135" s="1"/>
  <c r="L135"/>
  <c r="AX135" s="1"/>
  <c r="M135"/>
  <c r="AY135" s="1"/>
  <c r="N135"/>
  <c r="AZ135" s="1"/>
  <c r="O135"/>
  <c r="P135"/>
  <c r="BB135" s="1"/>
  <c r="Q135"/>
  <c r="BC135" s="1"/>
  <c r="R135"/>
  <c r="BD135" s="1"/>
  <c r="S135"/>
  <c r="BE135" s="1"/>
  <c r="BA135"/>
  <c r="C136"/>
  <c r="AO136" s="1"/>
  <c r="D136"/>
  <c r="AP136" s="1"/>
  <c r="E136"/>
  <c r="AQ136" s="1"/>
  <c r="F136"/>
  <c r="AR136" s="1"/>
  <c r="G136"/>
  <c r="AS136" s="1"/>
  <c r="H136"/>
  <c r="AT136" s="1"/>
  <c r="I136"/>
  <c r="AU136" s="1"/>
  <c r="J136"/>
  <c r="AV136" s="1"/>
  <c r="K136"/>
  <c r="AW136" s="1"/>
  <c r="L136"/>
  <c r="AX136" s="1"/>
  <c r="M136"/>
  <c r="AY136" s="1"/>
  <c r="N136"/>
  <c r="AZ136" s="1"/>
  <c r="O136"/>
  <c r="BA136" s="1"/>
  <c r="P136"/>
  <c r="BB136" s="1"/>
  <c r="Q136"/>
  <c r="BC136" s="1"/>
  <c r="R136"/>
  <c r="BD136" s="1"/>
  <c r="S136"/>
  <c r="BE136" s="1"/>
  <c r="C137"/>
  <c r="AO137" s="1"/>
  <c r="D137"/>
  <c r="AP137" s="1"/>
  <c r="E137"/>
  <c r="AQ137" s="1"/>
  <c r="F137"/>
  <c r="AR137" s="1"/>
  <c r="G137"/>
  <c r="AS137" s="1"/>
  <c r="H137"/>
  <c r="AT137" s="1"/>
  <c r="I137"/>
  <c r="AU137" s="1"/>
  <c r="J137"/>
  <c r="AV137" s="1"/>
  <c r="K137"/>
  <c r="AW137" s="1"/>
  <c r="L137"/>
  <c r="AX137" s="1"/>
  <c r="M137"/>
  <c r="AY137" s="1"/>
  <c r="N137"/>
  <c r="AZ137" s="1"/>
  <c r="O137"/>
  <c r="BA137" s="1"/>
  <c r="P137"/>
  <c r="BB137" s="1"/>
  <c r="Q137"/>
  <c r="BC137" s="1"/>
  <c r="R137"/>
  <c r="BD137" s="1"/>
  <c r="S137"/>
  <c r="BE137" s="1"/>
  <c r="C138"/>
  <c r="AO138" s="1"/>
  <c r="D138"/>
  <c r="AP138" s="1"/>
  <c r="E138"/>
  <c r="AQ138" s="1"/>
  <c r="F138"/>
  <c r="AR138" s="1"/>
  <c r="G138"/>
  <c r="AS138" s="1"/>
  <c r="H138"/>
  <c r="AT138" s="1"/>
  <c r="I138"/>
  <c r="AU138" s="1"/>
  <c r="J138"/>
  <c r="AV138" s="1"/>
  <c r="K138"/>
  <c r="AW138" s="1"/>
  <c r="L138"/>
  <c r="AX138" s="1"/>
  <c r="M138"/>
  <c r="AY138" s="1"/>
  <c r="N138"/>
  <c r="AZ138" s="1"/>
  <c r="O138"/>
  <c r="BA138" s="1"/>
  <c r="P138"/>
  <c r="BB138" s="1"/>
  <c r="Q138"/>
  <c r="BC138" s="1"/>
  <c r="R138"/>
  <c r="BD138" s="1"/>
  <c r="S138"/>
  <c r="BE138" s="1"/>
  <c r="C139"/>
  <c r="AO139" s="1"/>
  <c r="D139"/>
  <c r="AP139" s="1"/>
  <c r="E139"/>
  <c r="AQ139" s="1"/>
  <c r="F139"/>
  <c r="AR139" s="1"/>
  <c r="G139"/>
  <c r="AS139" s="1"/>
  <c r="H139"/>
  <c r="AT139" s="1"/>
  <c r="I139"/>
  <c r="AU139" s="1"/>
  <c r="J139"/>
  <c r="AV139" s="1"/>
  <c r="K139"/>
  <c r="AW139" s="1"/>
  <c r="L139"/>
  <c r="AX139" s="1"/>
  <c r="M139"/>
  <c r="AY139" s="1"/>
  <c r="N139"/>
  <c r="AZ139" s="1"/>
  <c r="O139"/>
  <c r="BA139" s="1"/>
  <c r="P139"/>
  <c r="BB139" s="1"/>
  <c r="Q139"/>
  <c r="BC139" s="1"/>
  <c r="R139"/>
  <c r="BD139" s="1"/>
  <c r="S139"/>
  <c r="BE139" s="1"/>
  <c r="C140"/>
  <c r="AO140" s="1"/>
  <c r="D140"/>
  <c r="AP140" s="1"/>
  <c r="E140"/>
  <c r="AQ140" s="1"/>
  <c r="F140"/>
  <c r="AR140" s="1"/>
  <c r="G140"/>
  <c r="AS140" s="1"/>
  <c r="H140"/>
  <c r="AT140" s="1"/>
  <c r="I140"/>
  <c r="AU140" s="1"/>
  <c r="J140"/>
  <c r="AV140" s="1"/>
  <c r="K140"/>
  <c r="AW140" s="1"/>
  <c r="L140"/>
  <c r="AX140" s="1"/>
  <c r="M140"/>
  <c r="AY140" s="1"/>
  <c r="N140"/>
  <c r="AZ140" s="1"/>
  <c r="O140"/>
  <c r="BA140" s="1"/>
  <c r="P140"/>
  <c r="BB140" s="1"/>
  <c r="Q140"/>
  <c r="BC140" s="1"/>
  <c r="R140"/>
  <c r="BD140" s="1"/>
  <c r="S140"/>
  <c r="BE140" s="1"/>
  <c r="C141"/>
  <c r="AO141" s="1"/>
  <c r="D141"/>
  <c r="AP141" s="1"/>
  <c r="E141"/>
  <c r="AQ141" s="1"/>
  <c r="F141"/>
  <c r="AR141" s="1"/>
  <c r="G141"/>
  <c r="AS141" s="1"/>
  <c r="H141"/>
  <c r="AT141" s="1"/>
  <c r="I141"/>
  <c r="AU141" s="1"/>
  <c r="J141"/>
  <c r="AV141" s="1"/>
  <c r="K141"/>
  <c r="AW141" s="1"/>
  <c r="L141"/>
  <c r="AX141" s="1"/>
  <c r="M141"/>
  <c r="AY141" s="1"/>
  <c r="N141"/>
  <c r="AZ141" s="1"/>
  <c r="O141"/>
  <c r="BA141" s="1"/>
  <c r="P141"/>
  <c r="BB141" s="1"/>
  <c r="Q141"/>
  <c r="BC141" s="1"/>
  <c r="R141"/>
  <c r="BD141" s="1"/>
  <c r="S141"/>
  <c r="BE141" s="1"/>
  <c r="C142"/>
  <c r="AO142" s="1"/>
  <c r="D142"/>
  <c r="AP142" s="1"/>
  <c r="E142"/>
  <c r="AQ142" s="1"/>
  <c r="F142"/>
  <c r="AR142" s="1"/>
  <c r="G142"/>
  <c r="AS142" s="1"/>
  <c r="H142"/>
  <c r="AT142" s="1"/>
  <c r="I142"/>
  <c r="AU142" s="1"/>
  <c r="J142"/>
  <c r="AV142" s="1"/>
  <c r="K142"/>
  <c r="AW142" s="1"/>
  <c r="L142"/>
  <c r="AX142" s="1"/>
  <c r="M142"/>
  <c r="AY142" s="1"/>
  <c r="N142"/>
  <c r="AZ142" s="1"/>
  <c r="O142"/>
  <c r="BA142" s="1"/>
  <c r="P142"/>
  <c r="BB142" s="1"/>
  <c r="Q142"/>
  <c r="BC142" s="1"/>
  <c r="R142"/>
  <c r="BD142" s="1"/>
  <c r="S142"/>
  <c r="BE142" s="1"/>
  <c r="C143"/>
  <c r="D143"/>
  <c r="AP143" s="1"/>
  <c r="E143"/>
  <c r="AQ143" s="1"/>
  <c r="F143"/>
  <c r="AR143" s="1"/>
  <c r="G143"/>
  <c r="AS143" s="1"/>
  <c r="H143"/>
  <c r="AT143" s="1"/>
  <c r="I143"/>
  <c r="AU143" s="1"/>
  <c r="J143"/>
  <c r="AV143" s="1"/>
  <c r="K143"/>
  <c r="AW143" s="1"/>
  <c r="L143"/>
  <c r="AX143" s="1"/>
  <c r="M143"/>
  <c r="AY143" s="1"/>
  <c r="N143"/>
  <c r="AZ143" s="1"/>
  <c r="O143"/>
  <c r="BA143" s="1"/>
  <c r="P143"/>
  <c r="BB143" s="1"/>
  <c r="Q143"/>
  <c r="BC143" s="1"/>
  <c r="R143"/>
  <c r="BD143" s="1"/>
  <c r="S143"/>
  <c r="BE143" s="1"/>
  <c r="C144"/>
  <c r="D144"/>
  <c r="E144"/>
  <c r="AQ144" s="1"/>
  <c r="F144"/>
  <c r="AR144" s="1"/>
  <c r="G144"/>
  <c r="AS144" s="1"/>
  <c r="H144"/>
  <c r="AT144" s="1"/>
  <c r="I144"/>
  <c r="AU144" s="1"/>
  <c r="J144"/>
  <c r="AV144" s="1"/>
  <c r="K144"/>
  <c r="AW144" s="1"/>
  <c r="L144"/>
  <c r="AX144" s="1"/>
  <c r="M144"/>
  <c r="AY144" s="1"/>
  <c r="N144"/>
  <c r="AZ144" s="1"/>
  <c r="O144"/>
  <c r="BA144" s="1"/>
  <c r="P144"/>
  <c r="BB144" s="1"/>
  <c r="Q144"/>
  <c r="BC144" s="1"/>
  <c r="R144"/>
  <c r="S144"/>
  <c r="BE144" s="1"/>
  <c r="AP144"/>
  <c r="BD144"/>
  <c r="C145"/>
  <c r="D145"/>
  <c r="AP145" s="1"/>
  <c r="E145"/>
  <c r="AQ145" s="1"/>
  <c r="F145"/>
  <c r="AR145" s="1"/>
  <c r="G145"/>
  <c r="AS145" s="1"/>
  <c r="H145"/>
  <c r="I145"/>
  <c r="J145"/>
  <c r="K145"/>
  <c r="AW145" s="1"/>
  <c r="L145"/>
  <c r="AX145" s="1"/>
  <c r="M145"/>
  <c r="AY145" s="1"/>
  <c r="N145"/>
  <c r="AZ145" s="1"/>
  <c r="O145"/>
  <c r="BA145" s="1"/>
  <c r="P145"/>
  <c r="BB145" s="1"/>
  <c r="Q145"/>
  <c r="BC145" s="1"/>
  <c r="R145"/>
  <c r="BD145" s="1"/>
  <c r="S145"/>
  <c r="BE145" s="1"/>
  <c r="C146"/>
  <c r="AO146" s="1"/>
  <c r="D146"/>
  <c r="E146"/>
  <c r="AQ146" s="1"/>
  <c r="F146"/>
  <c r="AR146" s="1"/>
  <c r="G146"/>
  <c r="AS146" s="1"/>
  <c r="H146"/>
  <c r="AT146" s="1"/>
  <c r="I146"/>
  <c r="AU146" s="1"/>
  <c r="J146"/>
  <c r="AV146" s="1"/>
  <c r="K146"/>
  <c r="AW146" s="1"/>
  <c r="L146"/>
  <c r="AX146" s="1"/>
  <c r="M146"/>
  <c r="AY146" s="1"/>
  <c r="N146"/>
  <c r="AZ146" s="1"/>
  <c r="O146"/>
  <c r="BA146" s="1"/>
  <c r="P146"/>
  <c r="BB146" s="1"/>
  <c r="Q146"/>
  <c r="BC146" s="1"/>
  <c r="R146"/>
  <c r="BD146" s="1"/>
  <c r="S146"/>
  <c r="BE146" s="1"/>
  <c r="C147"/>
  <c r="AO147" s="1"/>
  <c r="D147"/>
  <c r="E147"/>
  <c r="AQ147" s="1"/>
  <c r="F147"/>
  <c r="AR147" s="1"/>
  <c r="G147"/>
  <c r="AS147" s="1"/>
  <c r="H147"/>
  <c r="AT147" s="1"/>
  <c r="I147"/>
  <c r="AU147" s="1"/>
  <c r="J147"/>
  <c r="AV147" s="1"/>
  <c r="K147"/>
  <c r="AW147" s="1"/>
  <c r="L147"/>
  <c r="AX147" s="1"/>
  <c r="M147"/>
  <c r="AY147" s="1"/>
  <c r="N147"/>
  <c r="AZ147" s="1"/>
  <c r="O147"/>
  <c r="BA147" s="1"/>
  <c r="P147"/>
  <c r="BB147" s="1"/>
  <c r="Q147"/>
  <c r="BC147" s="1"/>
  <c r="R147"/>
  <c r="BD147" s="1"/>
  <c r="S147"/>
  <c r="BE147" s="1"/>
  <c r="C148"/>
  <c r="AO148" s="1"/>
  <c r="D148"/>
  <c r="E148"/>
  <c r="AQ148" s="1"/>
  <c r="F148"/>
  <c r="AR148" s="1"/>
  <c r="G148"/>
  <c r="AS148" s="1"/>
  <c r="AT148"/>
  <c r="AU148"/>
  <c r="K148"/>
  <c r="AW148" s="1"/>
  <c r="L148"/>
  <c r="AX148" s="1"/>
  <c r="M148"/>
  <c r="AY148" s="1"/>
  <c r="N148"/>
  <c r="AZ148" s="1"/>
  <c r="O148"/>
  <c r="BA148" s="1"/>
  <c r="P148"/>
  <c r="BB148" s="1"/>
  <c r="Q148"/>
  <c r="BC148" s="1"/>
  <c r="R148"/>
  <c r="BD148" s="1"/>
  <c r="S148"/>
  <c r="C149"/>
  <c r="AO149" s="1"/>
  <c r="D149"/>
  <c r="E149"/>
  <c r="AQ149" s="1"/>
  <c r="F149"/>
  <c r="AR149" s="1"/>
  <c r="G149"/>
  <c r="AS149" s="1"/>
  <c r="H149"/>
  <c r="AT149" s="1"/>
  <c r="I149"/>
  <c r="AU149" s="1"/>
  <c r="J149"/>
  <c r="AV149" s="1"/>
  <c r="K149"/>
  <c r="AW149" s="1"/>
  <c r="L149"/>
  <c r="AX149" s="1"/>
  <c r="M149"/>
  <c r="AY149" s="1"/>
  <c r="N149"/>
  <c r="AZ149" s="1"/>
  <c r="O149"/>
  <c r="BA149" s="1"/>
  <c r="P149"/>
  <c r="BB149" s="1"/>
  <c r="Q149"/>
  <c r="BC149" s="1"/>
  <c r="R149"/>
  <c r="BD149" s="1"/>
  <c r="S149"/>
  <c r="BE149" s="1"/>
  <c r="C150"/>
  <c r="AO150" s="1"/>
  <c r="D150"/>
  <c r="E150"/>
  <c r="AQ150" s="1"/>
  <c r="F150"/>
  <c r="AR150" s="1"/>
  <c r="G150"/>
  <c r="AS150" s="1"/>
  <c r="H150"/>
  <c r="AT150" s="1"/>
  <c r="I150"/>
  <c r="AU150" s="1"/>
  <c r="J150"/>
  <c r="AV150" s="1"/>
  <c r="K150"/>
  <c r="AW150" s="1"/>
  <c r="L150"/>
  <c r="AX150" s="1"/>
  <c r="M150"/>
  <c r="AY150" s="1"/>
  <c r="N150"/>
  <c r="AZ150" s="1"/>
  <c r="O150"/>
  <c r="BA150" s="1"/>
  <c r="P150"/>
  <c r="BB150" s="1"/>
  <c r="Q150"/>
  <c r="R150"/>
  <c r="BD150" s="1"/>
  <c r="S150"/>
  <c r="BE150" s="1"/>
  <c r="BC150"/>
  <c r="C151"/>
  <c r="AO151" s="1"/>
  <c r="D151"/>
  <c r="E151"/>
  <c r="AQ151" s="1"/>
  <c r="F151"/>
  <c r="AR151" s="1"/>
  <c r="G151"/>
  <c r="AS151" s="1"/>
  <c r="H151"/>
  <c r="AT151" s="1"/>
  <c r="I151"/>
  <c r="AU151" s="1"/>
  <c r="J151"/>
  <c r="AV151" s="1"/>
  <c r="K151"/>
  <c r="AW151" s="1"/>
  <c r="L151"/>
  <c r="AX151" s="1"/>
  <c r="M151"/>
  <c r="AY151" s="1"/>
  <c r="N151"/>
  <c r="AZ151" s="1"/>
  <c r="O151"/>
  <c r="BA151" s="1"/>
  <c r="P151"/>
  <c r="BB151" s="1"/>
  <c r="Q151"/>
  <c r="BC151" s="1"/>
  <c r="R151"/>
  <c r="BD151" s="1"/>
  <c r="S151"/>
  <c r="BE151" s="1"/>
  <c r="C152"/>
  <c r="AO152" s="1"/>
  <c r="D152"/>
  <c r="E152"/>
  <c r="AQ152" s="1"/>
  <c r="F152"/>
  <c r="AR152" s="1"/>
  <c r="G152"/>
  <c r="AS152" s="1"/>
  <c r="H152"/>
  <c r="AT152" s="1"/>
  <c r="I152"/>
  <c r="AU152" s="1"/>
  <c r="J152"/>
  <c r="AV152" s="1"/>
  <c r="K152"/>
  <c r="AW152" s="1"/>
  <c r="L152"/>
  <c r="AX152" s="1"/>
  <c r="M152"/>
  <c r="AY152" s="1"/>
  <c r="N152"/>
  <c r="AZ152" s="1"/>
  <c r="O152"/>
  <c r="BA152" s="1"/>
  <c r="P152"/>
  <c r="BB152" s="1"/>
  <c r="Q152"/>
  <c r="BC152" s="1"/>
  <c r="R152"/>
  <c r="BD152" s="1"/>
  <c r="S152"/>
  <c r="BE152" s="1"/>
  <c r="AP167"/>
  <c r="AQ167"/>
  <c r="AR167"/>
  <c r="AS167"/>
  <c r="AT167"/>
  <c r="AU167"/>
  <c r="AV167"/>
  <c r="AW167"/>
  <c r="AX167"/>
  <c r="AY167"/>
  <c r="AZ167"/>
  <c r="BA167"/>
  <c r="BB167"/>
  <c r="BC167"/>
  <c r="BD167"/>
  <c r="BE167"/>
  <c r="C171"/>
  <c r="C173" s="1"/>
  <c r="D171"/>
  <c r="D177" s="1"/>
  <c r="E171"/>
  <c r="E174" s="1"/>
  <c r="F171"/>
  <c r="F173" s="1"/>
  <c r="G171"/>
  <c r="G172" s="1"/>
  <c r="H171"/>
  <c r="H233" s="1"/>
  <c r="I171"/>
  <c r="I233" s="1"/>
  <c r="J171"/>
  <c r="J233" s="1"/>
  <c r="K171"/>
  <c r="K189" s="1"/>
  <c r="L171"/>
  <c r="L204" s="1"/>
  <c r="M171"/>
  <c r="M172" s="1"/>
  <c r="N171"/>
  <c r="N205" s="1"/>
  <c r="O171"/>
  <c r="O174" s="1"/>
  <c r="P171"/>
  <c r="P204" s="1"/>
  <c r="Q171"/>
  <c r="Q205" s="1"/>
  <c r="R171"/>
  <c r="R204" s="1"/>
  <c r="S171"/>
  <c r="S205" s="1"/>
  <c r="C172"/>
  <c r="O172"/>
  <c r="L173"/>
  <c r="Q174"/>
  <c r="L175"/>
  <c r="I176"/>
  <c r="L177"/>
  <c r="I178"/>
  <c r="D179"/>
  <c r="K179"/>
  <c r="S179"/>
  <c r="O180"/>
  <c r="D181"/>
  <c r="C182"/>
  <c r="O182"/>
  <c r="E183"/>
  <c r="C184"/>
  <c r="O184"/>
  <c r="F185"/>
  <c r="C186"/>
  <c r="O186"/>
  <c r="E187"/>
  <c r="C188"/>
  <c r="K188"/>
  <c r="S188"/>
  <c r="C192"/>
  <c r="G192"/>
  <c r="K192"/>
  <c r="O192"/>
  <c r="C193"/>
  <c r="E193"/>
  <c r="G193"/>
  <c r="I193"/>
  <c r="K193"/>
  <c r="M193"/>
  <c r="O193"/>
  <c r="Q193"/>
  <c r="S193"/>
  <c r="C194"/>
  <c r="E194"/>
  <c r="G194"/>
  <c r="I194"/>
  <c r="K194"/>
  <c r="M194"/>
  <c r="O194"/>
  <c r="Q194"/>
  <c r="S194"/>
  <c r="C195"/>
  <c r="E195"/>
  <c r="G195"/>
  <c r="I195"/>
  <c r="K195"/>
  <c r="M195"/>
  <c r="O195"/>
  <c r="Q195"/>
  <c r="S195"/>
  <c r="C196"/>
  <c r="E196"/>
  <c r="G196"/>
  <c r="I196"/>
  <c r="K196"/>
  <c r="M196"/>
  <c r="O196"/>
  <c r="Q196"/>
  <c r="S196"/>
  <c r="C197"/>
  <c r="E197"/>
  <c r="G197"/>
  <c r="I197"/>
  <c r="K197"/>
  <c r="M197"/>
  <c r="O197"/>
  <c r="Q197"/>
  <c r="S197"/>
  <c r="C198"/>
  <c r="E198"/>
  <c r="G198"/>
  <c r="I198"/>
  <c r="K198"/>
  <c r="M198"/>
  <c r="O198"/>
  <c r="Q198"/>
  <c r="S198"/>
  <c r="C199"/>
  <c r="E199"/>
  <c r="G199"/>
  <c r="I199"/>
  <c r="K199"/>
  <c r="M199"/>
  <c r="O199"/>
  <c r="Q199"/>
  <c r="S199"/>
  <c r="C200"/>
  <c r="E200"/>
  <c r="G200"/>
  <c r="I200"/>
  <c r="K200"/>
  <c r="M200"/>
  <c r="O200"/>
  <c r="Q200"/>
  <c r="S200"/>
  <c r="C201"/>
  <c r="E201"/>
  <c r="I201"/>
  <c r="K201"/>
  <c r="M201"/>
  <c r="O201"/>
  <c r="Q201"/>
  <c r="S201"/>
  <c r="C202"/>
  <c r="E202"/>
  <c r="G202"/>
  <c r="I202"/>
  <c r="K202"/>
  <c r="M202"/>
  <c r="O202"/>
  <c r="Q202"/>
  <c r="S202"/>
  <c r="C203"/>
  <c r="E203"/>
  <c r="G203"/>
  <c r="I203"/>
  <c r="K203"/>
  <c r="M203"/>
  <c r="O203"/>
  <c r="Q203"/>
  <c r="S203"/>
  <c r="C204"/>
  <c r="E204"/>
  <c r="I204"/>
  <c r="K204"/>
  <c r="C205"/>
  <c r="D205"/>
  <c r="E205"/>
  <c r="F205"/>
  <c r="G205"/>
  <c r="H205"/>
  <c r="I205"/>
  <c r="J205"/>
  <c r="K205"/>
  <c r="C206"/>
  <c r="E206"/>
  <c r="G206"/>
  <c r="I206"/>
  <c r="K206"/>
  <c r="C207"/>
  <c r="D207"/>
  <c r="E207"/>
  <c r="H207"/>
  <c r="I207"/>
  <c r="J207"/>
  <c r="K207"/>
  <c r="C208"/>
  <c r="E208"/>
  <c r="G208"/>
  <c r="I208"/>
  <c r="K208"/>
  <c r="C209"/>
  <c r="D209"/>
  <c r="E209"/>
  <c r="F209"/>
  <c r="G209"/>
  <c r="H209"/>
  <c r="I209"/>
  <c r="J209"/>
  <c r="K209"/>
  <c r="C210"/>
  <c r="E210"/>
  <c r="K210"/>
  <c r="C211"/>
  <c r="E211"/>
  <c r="G211"/>
  <c r="I211"/>
  <c r="K211"/>
  <c r="C212"/>
  <c r="D212"/>
  <c r="E212"/>
  <c r="F212"/>
  <c r="G212"/>
  <c r="H212"/>
  <c r="I212"/>
  <c r="J212"/>
  <c r="K212"/>
  <c r="C213"/>
  <c r="D213"/>
  <c r="E213"/>
  <c r="F213"/>
  <c r="G213"/>
  <c r="K213"/>
  <c r="C214"/>
  <c r="D214"/>
  <c r="E214"/>
  <c r="F214"/>
  <c r="G214"/>
  <c r="H214"/>
  <c r="I214"/>
  <c r="J214"/>
  <c r="K214"/>
  <c r="C215"/>
  <c r="D215"/>
  <c r="E215"/>
  <c r="F215"/>
  <c r="G215"/>
  <c r="H215"/>
  <c r="I215"/>
  <c r="J215"/>
  <c r="K215"/>
  <c r="C216"/>
  <c r="D216"/>
  <c r="E216"/>
  <c r="F216"/>
  <c r="G216"/>
  <c r="H216"/>
  <c r="I216"/>
  <c r="J216"/>
  <c r="K216"/>
  <c r="C217"/>
  <c r="D217"/>
  <c r="E217"/>
  <c r="F217"/>
  <c r="G217"/>
  <c r="H217"/>
  <c r="I217"/>
  <c r="J217"/>
  <c r="K217"/>
  <c r="C218"/>
  <c r="D218"/>
  <c r="E218"/>
  <c r="F218"/>
  <c r="G218"/>
  <c r="H218"/>
  <c r="I218"/>
  <c r="J218"/>
  <c r="K218"/>
  <c r="C219"/>
  <c r="D219"/>
  <c r="E219"/>
  <c r="F219"/>
  <c r="G219"/>
  <c r="K219"/>
  <c r="C220"/>
  <c r="D220"/>
  <c r="E220"/>
  <c r="F220"/>
  <c r="G220"/>
  <c r="H220"/>
  <c r="I220"/>
  <c r="J220"/>
  <c r="K220"/>
  <c r="C221"/>
  <c r="D221"/>
  <c r="E221"/>
  <c r="F221"/>
  <c r="G221"/>
  <c r="H221"/>
  <c r="I221"/>
  <c r="J221"/>
  <c r="K221"/>
  <c r="C222"/>
  <c r="D222"/>
  <c r="E222"/>
  <c r="F222"/>
  <c r="G222"/>
  <c r="K222"/>
  <c r="C223"/>
  <c r="D223"/>
  <c r="F223"/>
  <c r="G223"/>
  <c r="H223"/>
  <c r="I223"/>
  <c r="J223"/>
  <c r="K223"/>
  <c r="C224"/>
  <c r="D224"/>
  <c r="E224"/>
  <c r="F224"/>
  <c r="G224"/>
  <c r="H224"/>
  <c r="I224"/>
  <c r="J224"/>
  <c r="K224"/>
  <c r="C225"/>
  <c r="D225"/>
  <c r="E225"/>
  <c r="F225"/>
  <c r="G225"/>
  <c r="K225"/>
  <c r="C226"/>
  <c r="D226"/>
  <c r="E226"/>
  <c r="F226"/>
  <c r="G226"/>
  <c r="H226"/>
  <c r="I226"/>
  <c r="J226"/>
  <c r="K226"/>
  <c r="C227"/>
  <c r="D227"/>
  <c r="E227"/>
  <c r="F227"/>
  <c r="G227"/>
  <c r="H227"/>
  <c r="I227"/>
  <c r="J227"/>
  <c r="K227"/>
  <c r="C228"/>
  <c r="D228"/>
  <c r="E228"/>
  <c r="F228"/>
  <c r="G228"/>
  <c r="K228"/>
  <c r="C229"/>
  <c r="D229"/>
  <c r="E229"/>
  <c r="F229"/>
  <c r="G229"/>
  <c r="H229"/>
  <c r="I229"/>
  <c r="J229"/>
  <c r="K229"/>
  <c r="C230"/>
  <c r="D230"/>
  <c r="E230"/>
  <c r="F230"/>
  <c r="G230"/>
  <c r="H230"/>
  <c r="I230"/>
  <c r="J230"/>
  <c r="K230"/>
  <c r="C231"/>
  <c r="D231"/>
  <c r="E231"/>
  <c r="F231"/>
  <c r="G231"/>
  <c r="K231"/>
  <c r="C232"/>
  <c r="D232"/>
  <c r="E232"/>
  <c r="F232"/>
  <c r="G232"/>
  <c r="K232"/>
  <c r="C233"/>
  <c r="D233"/>
  <c r="E233"/>
  <c r="F233"/>
  <c r="G233"/>
  <c r="K233"/>
  <c r="C234"/>
  <c r="D234"/>
  <c r="E234"/>
  <c r="F234"/>
  <c r="G234"/>
  <c r="K234"/>
  <c r="C235"/>
  <c r="D235"/>
  <c r="E235"/>
  <c r="F235"/>
  <c r="G235"/>
  <c r="K235"/>
  <c r="C236"/>
  <c r="D236"/>
  <c r="E236"/>
  <c r="F236"/>
  <c r="G236"/>
  <c r="K236"/>
  <c r="C237"/>
  <c r="D237"/>
  <c r="E237"/>
  <c r="F237"/>
  <c r="G237"/>
  <c r="K237"/>
  <c r="C238"/>
  <c r="D238"/>
  <c r="E238"/>
  <c r="F238"/>
  <c r="G238"/>
  <c r="K238"/>
  <c r="V3" i="34"/>
  <c r="W3"/>
  <c r="X3"/>
  <c r="Y3"/>
  <c r="B4"/>
  <c r="V4"/>
  <c r="W4"/>
  <c r="X4"/>
  <c r="Y4"/>
  <c r="B5"/>
  <c r="V5"/>
  <c r="W5"/>
  <c r="X5"/>
  <c r="Y5"/>
  <c r="B6"/>
  <c r="V6"/>
  <c r="W6"/>
  <c r="X6"/>
  <c r="Y6"/>
  <c r="B7"/>
  <c r="V7"/>
  <c r="W7"/>
  <c r="X7"/>
  <c r="Y7"/>
  <c r="B8"/>
  <c r="V8"/>
  <c r="W8"/>
  <c r="X8"/>
  <c r="Y8"/>
  <c r="B9"/>
  <c r="V9"/>
  <c r="W9"/>
  <c r="X9"/>
  <c r="Y9"/>
  <c r="B10"/>
  <c r="V10"/>
  <c r="W10"/>
  <c r="X10"/>
  <c r="Y10"/>
  <c r="B11"/>
  <c r="V11"/>
  <c r="W11"/>
  <c r="X11"/>
  <c r="Y11"/>
  <c r="B12"/>
  <c r="V12"/>
  <c r="W12"/>
  <c r="X12"/>
  <c r="Y12"/>
  <c r="B13"/>
  <c r="V13"/>
  <c r="W13"/>
  <c r="X13"/>
  <c r="Y13"/>
  <c r="B14"/>
  <c r="V14"/>
  <c r="W14"/>
  <c r="X14"/>
  <c r="Y14"/>
  <c r="B15"/>
  <c r="V15"/>
  <c r="W15"/>
  <c r="X15"/>
  <c r="Y15"/>
  <c r="B16"/>
  <c r="V16"/>
  <c r="W16"/>
  <c r="X16"/>
  <c r="Y16"/>
  <c r="B17"/>
  <c r="V17"/>
  <c r="W17"/>
  <c r="X17"/>
  <c r="Y17"/>
  <c r="B18"/>
  <c r="V18"/>
  <c r="W18"/>
  <c r="X18"/>
  <c r="Y18"/>
  <c r="B19"/>
  <c r="V19"/>
  <c r="W19"/>
  <c r="X19"/>
  <c r="Y19"/>
  <c r="B20"/>
  <c r="V20"/>
  <c r="W20"/>
  <c r="X20"/>
  <c r="Y20"/>
  <c r="B21"/>
  <c r="V21"/>
  <c r="W21"/>
  <c r="X21"/>
  <c r="Y21"/>
  <c r="B22"/>
  <c r="V22"/>
  <c r="W22"/>
  <c r="X22"/>
  <c r="Y22"/>
  <c r="B23"/>
  <c r="V23"/>
  <c r="W23"/>
  <c r="X23"/>
  <c r="Y23"/>
  <c r="B24"/>
  <c r="V24"/>
  <c r="W24"/>
  <c r="X24"/>
  <c r="Y24"/>
  <c r="B25"/>
  <c r="V25"/>
  <c r="W25"/>
  <c r="X25"/>
  <c r="Y25"/>
  <c r="B26"/>
  <c r="V26"/>
  <c r="W26"/>
  <c r="X26"/>
  <c r="Y26"/>
  <c r="B27"/>
  <c r="V27"/>
  <c r="W27"/>
  <c r="X27"/>
  <c r="Y27"/>
  <c r="B28"/>
  <c r="V28"/>
  <c r="W28"/>
  <c r="X28"/>
  <c r="Y28"/>
  <c r="B29"/>
  <c r="V29"/>
  <c r="W29"/>
  <c r="X29"/>
  <c r="Y29"/>
  <c r="B30"/>
  <c r="V30"/>
  <c r="W30"/>
  <c r="X30"/>
  <c r="Y30"/>
  <c r="B31"/>
  <c r="V31"/>
  <c r="W31"/>
  <c r="X31"/>
  <c r="Y31"/>
  <c r="B32"/>
  <c r="V32"/>
  <c r="W32"/>
  <c r="X32"/>
  <c r="Y32"/>
  <c r="B33"/>
  <c r="V33"/>
  <c r="W33"/>
  <c r="X33"/>
  <c r="Y33"/>
  <c r="B34"/>
  <c r="V34"/>
  <c r="W34"/>
  <c r="X34"/>
  <c r="Y34"/>
  <c r="B35"/>
  <c r="V35"/>
  <c r="W35"/>
  <c r="X35"/>
  <c r="Y35"/>
  <c r="B36"/>
  <c r="V36"/>
  <c r="W36"/>
  <c r="X36"/>
  <c r="Y36"/>
  <c r="B37"/>
  <c r="V37"/>
  <c r="W37"/>
  <c r="X37"/>
  <c r="Y37"/>
  <c r="B38"/>
  <c r="V38"/>
  <c r="W38"/>
  <c r="X38"/>
  <c r="Y38"/>
  <c r="B39"/>
  <c r="V39"/>
  <c r="W39"/>
  <c r="X39"/>
  <c r="Y39"/>
  <c r="B40"/>
  <c r="V40"/>
  <c r="W40"/>
  <c r="X40"/>
  <c r="Y40"/>
  <c r="B41"/>
  <c r="V41"/>
  <c r="W41"/>
  <c r="X41"/>
  <c r="Y41"/>
  <c r="B42"/>
  <c r="V42"/>
  <c r="W42"/>
  <c r="X42"/>
  <c r="Y42"/>
  <c r="B43"/>
  <c r="V43"/>
  <c r="W43"/>
  <c r="X43"/>
  <c r="Y43"/>
  <c r="B44"/>
  <c r="V44"/>
  <c r="W44"/>
  <c r="X44"/>
  <c r="Y44"/>
  <c r="B45"/>
  <c r="V45"/>
  <c r="W45"/>
  <c r="X45"/>
  <c r="Y45"/>
  <c r="B46"/>
  <c r="V46"/>
  <c r="W46"/>
  <c r="X46"/>
  <c r="Y46"/>
  <c r="B47"/>
  <c r="V47"/>
  <c r="W47"/>
  <c r="X47"/>
  <c r="Y47"/>
  <c r="B48"/>
  <c r="V48"/>
  <c r="W48"/>
  <c r="X48"/>
  <c r="Y48"/>
  <c r="B49"/>
  <c r="V49"/>
  <c r="W49"/>
  <c r="X49"/>
  <c r="Y49"/>
  <c r="B50"/>
  <c r="V50"/>
  <c r="W50"/>
  <c r="X50"/>
  <c r="Y50"/>
  <c r="B51"/>
  <c r="V51"/>
  <c r="W51"/>
  <c r="X51"/>
  <c r="Y51"/>
  <c r="B52"/>
  <c r="V52"/>
  <c r="W52"/>
  <c r="X52"/>
  <c r="Y52"/>
  <c r="B53"/>
  <c r="V53"/>
  <c r="W53"/>
  <c r="X53"/>
  <c r="Y53"/>
  <c r="B54"/>
  <c r="V54"/>
  <c r="W54"/>
  <c r="X54"/>
  <c r="Y54"/>
  <c r="B55"/>
  <c r="V55"/>
  <c r="W55"/>
  <c r="X55"/>
  <c r="Y55"/>
  <c r="B56"/>
  <c r="V56"/>
  <c r="W56"/>
  <c r="X56"/>
  <c r="Y56"/>
  <c r="B57"/>
  <c r="V57"/>
  <c r="W57"/>
  <c r="X57"/>
  <c r="Y57"/>
  <c r="B58"/>
  <c r="V58"/>
  <c r="W58"/>
  <c r="X58"/>
  <c r="Y58"/>
  <c r="B59"/>
  <c r="V59"/>
  <c r="W59"/>
  <c r="X59"/>
  <c r="Y59"/>
  <c r="B60"/>
  <c r="V60"/>
  <c r="W60"/>
  <c r="X60"/>
  <c r="Y60"/>
  <c r="B61"/>
  <c r="V61"/>
  <c r="W61"/>
  <c r="X61"/>
  <c r="Y61"/>
  <c r="B62"/>
  <c r="V62"/>
  <c r="W62"/>
  <c r="X62"/>
  <c r="Y62"/>
  <c r="B63"/>
  <c r="V63"/>
  <c r="W63"/>
  <c r="X63"/>
  <c r="Y63"/>
  <c r="B64"/>
  <c r="V64"/>
  <c r="W64"/>
  <c r="X64"/>
  <c r="Y64"/>
  <c r="B65"/>
  <c r="V65"/>
  <c r="W65"/>
  <c r="X65"/>
  <c r="Y65"/>
  <c r="B66"/>
  <c r="V66"/>
  <c r="W66"/>
  <c r="X66"/>
  <c r="Y66"/>
  <c r="B67"/>
  <c r="V67"/>
  <c r="W67"/>
  <c r="X67"/>
  <c r="Y67"/>
  <c r="B68"/>
  <c r="V68"/>
  <c r="W68"/>
  <c r="X68"/>
  <c r="Y68"/>
  <c r="B69"/>
  <c r="V69"/>
  <c r="W69"/>
  <c r="X69"/>
  <c r="Y69"/>
  <c r="B70"/>
  <c r="AO86"/>
  <c r="BG86" s="1"/>
  <c r="AP86"/>
  <c r="AQ86"/>
  <c r="BI86" s="1"/>
  <c r="AR86"/>
  <c r="BJ86" s="1"/>
  <c r="AS86"/>
  <c r="BK86" s="1"/>
  <c r="AT86"/>
  <c r="BL86" s="1"/>
  <c r="AU86"/>
  <c r="BM86" s="1"/>
  <c r="AV86"/>
  <c r="BN86" s="1"/>
  <c r="AW86"/>
  <c r="BO86" s="1"/>
  <c r="AX86"/>
  <c r="BP86" s="1"/>
  <c r="AY86"/>
  <c r="BQ86" s="1"/>
  <c r="AZ86"/>
  <c r="BR86" s="1"/>
  <c r="BA86"/>
  <c r="BS86" s="1"/>
  <c r="BB86"/>
  <c r="BT86" s="1"/>
  <c r="BC86"/>
  <c r="BU86" s="1"/>
  <c r="BD86"/>
  <c r="BV86" s="1"/>
  <c r="BE86"/>
  <c r="BW86" s="1"/>
  <c r="BH86"/>
  <c r="C87"/>
  <c r="AO87" s="1"/>
  <c r="BG87" s="1"/>
  <c r="D87"/>
  <c r="AP87" s="1"/>
  <c r="BH87" s="1"/>
  <c r="E87"/>
  <c r="AQ87" s="1"/>
  <c r="BI87" s="1"/>
  <c r="F87"/>
  <c r="AR87" s="1"/>
  <c r="BJ87" s="1"/>
  <c r="G87"/>
  <c r="AS87" s="1"/>
  <c r="BK87" s="1"/>
  <c r="H87"/>
  <c r="AT87" s="1"/>
  <c r="BL87" s="1"/>
  <c r="I87"/>
  <c r="AU87" s="1"/>
  <c r="BM87" s="1"/>
  <c r="J87"/>
  <c r="AV87" s="1"/>
  <c r="BN87" s="1"/>
  <c r="K87"/>
  <c r="AW87" s="1"/>
  <c r="BO87" s="1"/>
  <c r="L87"/>
  <c r="AX87" s="1"/>
  <c r="BP87" s="1"/>
  <c r="M87"/>
  <c r="AY87" s="1"/>
  <c r="BQ87" s="1"/>
  <c r="N87"/>
  <c r="AZ87" s="1"/>
  <c r="BR87" s="1"/>
  <c r="O87"/>
  <c r="BA87" s="1"/>
  <c r="BS87" s="1"/>
  <c r="P87"/>
  <c r="BB87" s="1"/>
  <c r="BT87" s="1"/>
  <c r="Q87"/>
  <c r="BC87" s="1"/>
  <c r="BU87" s="1"/>
  <c r="R87"/>
  <c r="BD87" s="1"/>
  <c r="BV87" s="1"/>
  <c r="S87"/>
  <c r="BE87" s="1"/>
  <c r="BW87" s="1"/>
  <c r="C88"/>
  <c r="AO88" s="1"/>
  <c r="D88"/>
  <c r="AP88" s="1"/>
  <c r="E88"/>
  <c r="F88"/>
  <c r="AR88" s="1"/>
  <c r="G88"/>
  <c r="AS88" s="1"/>
  <c r="H88"/>
  <c r="AT88" s="1"/>
  <c r="I88"/>
  <c r="AU88" s="1"/>
  <c r="J88"/>
  <c r="K88"/>
  <c r="AW88" s="1"/>
  <c r="L88"/>
  <c r="AX88" s="1"/>
  <c r="M88"/>
  <c r="AY88" s="1"/>
  <c r="N88"/>
  <c r="AZ88" s="1"/>
  <c r="O88"/>
  <c r="BA88" s="1"/>
  <c r="P88"/>
  <c r="BB88" s="1"/>
  <c r="Q88"/>
  <c r="BC88" s="1"/>
  <c r="R88"/>
  <c r="BD88" s="1"/>
  <c r="S88"/>
  <c r="BE88" s="1"/>
  <c r="AV88"/>
  <c r="F89"/>
  <c r="AR89" s="1"/>
  <c r="G89"/>
  <c r="AS89" s="1"/>
  <c r="H89"/>
  <c r="AT89" s="1"/>
  <c r="I89"/>
  <c r="AU89" s="1"/>
  <c r="J89"/>
  <c r="AV89" s="1"/>
  <c r="K89"/>
  <c r="AW89" s="1"/>
  <c r="L89"/>
  <c r="AX89" s="1"/>
  <c r="M89"/>
  <c r="AY89" s="1"/>
  <c r="N89"/>
  <c r="AZ89" s="1"/>
  <c r="O89"/>
  <c r="BA89" s="1"/>
  <c r="P89"/>
  <c r="BB89" s="1"/>
  <c r="Q89"/>
  <c r="BC89" s="1"/>
  <c r="R89"/>
  <c r="BD89" s="1"/>
  <c r="S89"/>
  <c r="BE89" s="1"/>
  <c r="F90"/>
  <c r="G90"/>
  <c r="H90"/>
  <c r="AT90" s="1"/>
  <c r="I90"/>
  <c r="AU90" s="1"/>
  <c r="J90"/>
  <c r="AV90" s="1"/>
  <c r="K90"/>
  <c r="AW90" s="1"/>
  <c r="L90"/>
  <c r="AX90" s="1"/>
  <c r="M90"/>
  <c r="AY90" s="1"/>
  <c r="N90"/>
  <c r="AZ90" s="1"/>
  <c r="O90"/>
  <c r="BA90" s="1"/>
  <c r="P90"/>
  <c r="BB90" s="1"/>
  <c r="Q90"/>
  <c r="BC90" s="1"/>
  <c r="R90"/>
  <c r="BD90" s="1"/>
  <c r="S90"/>
  <c r="BE90" s="1"/>
  <c r="AR90"/>
  <c r="F91"/>
  <c r="AR91" s="1"/>
  <c r="G91"/>
  <c r="AS91" s="1"/>
  <c r="H91"/>
  <c r="AT91" s="1"/>
  <c r="I91"/>
  <c r="AU91" s="1"/>
  <c r="J91"/>
  <c r="AV91" s="1"/>
  <c r="K91"/>
  <c r="AW91" s="1"/>
  <c r="L91"/>
  <c r="AX91" s="1"/>
  <c r="M91"/>
  <c r="AY91" s="1"/>
  <c r="N91"/>
  <c r="AZ91" s="1"/>
  <c r="O91"/>
  <c r="BA91" s="1"/>
  <c r="P91"/>
  <c r="BB91" s="1"/>
  <c r="Q91"/>
  <c r="BC91" s="1"/>
  <c r="R91"/>
  <c r="BD91" s="1"/>
  <c r="S91"/>
  <c r="BE91" s="1"/>
  <c r="F92"/>
  <c r="AR92" s="1"/>
  <c r="G92"/>
  <c r="H92"/>
  <c r="AT92" s="1"/>
  <c r="I92"/>
  <c r="J92"/>
  <c r="AV92" s="1"/>
  <c r="K92"/>
  <c r="AW92" s="1"/>
  <c r="L92"/>
  <c r="AX92" s="1"/>
  <c r="M92"/>
  <c r="AY92" s="1"/>
  <c r="N92"/>
  <c r="AZ92" s="1"/>
  <c r="O92"/>
  <c r="BA92" s="1"/>
  <c r="P92"/>
  <c r="BB92" s="1"/>
  <c r="Q92"/>
  <c r="BC92" s="1"/>
  <c r="R92"/>
  <c r="BD92" s="1"/>
  <c r="S92"/>
  <c r="BE92" s="1"/>
  <c r="F93"/>
  <c r="AR93" s="1"/>
  <c r="G93"/>
  <c r="AS93" s="1"/>
  <c r="H93"/>
  <c r="AT93" s="1"/>
  <c r="I93"/>
  <c r="AU93" s="1"/>
  <c r="J93"/>
  <c r="AV93" s="1"/>
  <c r="K93"/>
  <c r="AW93" s="1"/>
  <c r="L93"/>
  <c r="AX93" s="1"/>
  <c r="M93"/>
  <c r="N93"/>
  <c r="AZ93" s="1"/>
  <c r="O93"/>
  <c r="BA93" s="1"/>
  <c r="P93"/>
  <c r="BB93" s="1"/>
  <c r="Q93"/>
  <c r="BC93" s="1"/>
  <c r="R93"/>
  <c r="BD93" s="1"/>
  <c r="S93"/>
  <c r="BE93" s="1"/>
  <c r="AQ93"/>
  <c r="AY93"/>
  <c r="F94"/>
  <c r="AR94" s="1"/>
  <c r="G94"/>
  <c r="AS94" s="1"/>
  <c r="H94"/>
  <c r="AT94" s="1"/>
  <c r="I94"/>
  <c r="J94"/>
  <c r="AV94" s="1"/>
  <c r="K94"/>
  <c r="AW94" s="1"/>
  <c r="L94"/>
  <c r="AX94" s="1"/>
  <c r="M94"/>
  <c r="AY94" s="1"/>
  <c r="N94"/>
  <c r="AZ94" s="1"/>
  <c r="O94"/>
  <c r="BA94" s="1"/>
  <c r="P94"/>
  <c r="BB94" s="1"/>
  <c r="Q94"/>
  <c r="BC94" s="1"/>
  <c r="R94"/>
  <c r="BD94" s="1"/>
  <c r="S94"/>
  <c r="BE94" s="1"/>
  <c r="AQ94"/>
  <c r="F95"/>
  <c r="AR95" s="1"/>
  <c r="G95"/>
  <c r="AS95" s="1"/>
  <c r="H95"/>
  <c r="AT95" s="1"/>
  <c r="I95"/>
  <c r="AU95" s="1"/>
  <c r="J95"/>
  <c r="AV95" s="1"/>
  <c r="K95"/>
  <c r="AW95" s="1"/>
  <c r="L95"/>
  <c r="AX95" s="1"/>
  <c r="M95"/>
  <c r="AY95" s="1"/>
  <c r="N95"/>
  <c r="AZ95" s="1"/>
  <c r="O95"/>
  <c r="BA95" s="1"/>
  <c r="P95"/>
  <c r="BB95" s="1"/>
  <c r="Q95"/>
  <c r="BC95" s="1"/>
  <c r="R95"/>
  <c r="BD95" s="1"/>
  <c r="S95"/>
  <c r="BE95" s="1"/>
  <c r="F96"/>
  <c r="AR96" s="1"/>
  <c r="G96"/>
  <c r="H96"/>
  <c r="AT96" s="1"/>
  <c r="I96"/>
  <c r="AU96" s="1"/>
  <c r="J96"/>
  <c r="AV96" s="1"/>
  <c r="K96"/>
  <c r="AW96" s="1"/>
  <c r="L96"/>
  <c r="AX96" s="1"/>
  <c r="M96"/>
  <c r="AY96" s="1"/>
  <c r="N96"/>
  <c r="AZ96" s="1"/>
  <c r="O96"/>
  <c r="BA96" s="1"/>
  <c r="P96"/>
  <c r="BB96" s="1"/>
  <c r="Q96"/>
  <c r="BC96" s="1"/>
  <c r="R96"/>
  <c r="BD96" s="1"/>
  <c r="S96"/>
  <c r="BE96" s="1"/>
  <c r="AQ96"/>
  <c r="F97"/>
  <c r="AR97" s="1"/>
  <c r="G97"/>
  <c r="AS97" s="1"/>
  <c r="H97"/>
  <c r="AT97" s="1"/>
  <c r="I97"/>
  <c r="AU97" s="1"/>
  <c r="J97"/>
  <c r="AV97" s="1"/>
  <c r="K97"/>
  <c r="AW97" s="1"/>
  <c r="L97"/>
  <c r="AX97" s="1"/>
  <c r="M97"/>
  <c r="AY97" s="1"/>
  <c r="N97"/>
  <c r="AZ97" s="1"/>
  <c r="O97"/>
  <c r="P97"/>
  <c r="BB97" s="1"/>
  <c r="Q97"/>
  <c r="BC97" s="1"/>
  <c r="R97"/>
  <c r="BD97" s="1"/>
  <c r="S97"/>
  <c r="BE97" s="1"/>
  <c r="AQ97"/>
  <c r="BA97"/>
  <c r="F98"/>
  <c r="AR98" s="1"/>
  <c r="G98"/>
  <c r="AS98" s="1"/>
  <c r="H98"/>
  <c r="AT98" s="1"/>
  <c r="I98"/>
  <c r="AU98" s="1"/>
  <c r="J98"/>
  <c r="AV98" s="1"/>
  <c r="K98"/>
  <c r="AW98" s="1"/>
  <c r="L98"/>
  <c r="AX98" s="1"/>
  <c r="M98"/>
  <c r="AY98" s="1"/>
  <c r="N98"/>
  <c r="AZ98" s="1"/>
  <c r="O98"/>
  <c r="BA98" s="1"/>
  <c r="P98"/>
  <c r="BB98" s="1"/>
  <c r="Q98"/>
  <c r="BC98" s="1"/>
  <c r="R98"/>
  <c r="BD98" s="1"/>
  <c r="S98"/>
  <c r="BE98" s="1"/>
  <c r="F99"/>
  <c r="AR99" s="1"/>
  <c r="G99"/>
  <c r="AS99" s="1"/>
  <c r="H99"/>
  <c r="AT99" s="1"/>
  <c r="I99"/>
  <c r="AU99" s="1"/>
  <c r="J99"/>
  <c r="AV99" s="1"/>
  <c r="K99"/>
  <c r="L99"/>
  <c r="AX99" s="1"/>
  <c r="M99"/>
  <c r="AY99" s="1"/>
  <c r="N99"/>
  <c r="AZ99" s="1"/>
  <c r="O99"/>
  <c r="BA99" s="1"/>
  <c r="P99"/>
  <c r="BB99" s="1"/>
  <c r="Q99"/>
  <c r="BC99" s="1"/>
  <c r="R99"/>
  <c r="BD99" s="1"/>
  <c r="S99"/>
  <c r="BE99" s="1"/>
  <c r="AQ99"/>
  <c r="AW99"/>
  <c r="F100"/>
  <c r="AR100" s="1"/>
  <c r="G100"/>
  <c r="AS100" s="1"/>
  <c r="H100"/>
  <c r="AT100" s="1"/>
  <c r="I100"/>
  <c r="J100"/>
  <c r="AV100" s="1"/>
  <c r="K100"/>
  <c r="AW100" s="1"/>
  <c r="L100"/>
  <c r="AX100" s="1"/>
  <c r="M100"/>
  <c r="AY100" s="1"/>
  <c r="N100"/>
  <c r="AZ100" s="1"/>
  <c r="O100"/>
  <c r="BA100" s="1"/>
  <c r="P100"/>
  <c r="BB100" s="1"/>
  <c r="Q100"/>
  <c r="BC100" s="1"/>
  <c r="R100"/>
  <c r="BD100" s="1"/>
  <c r="S100"/>
  <c r="BE100" s="1"/>
  <c r="AQ100"/>
  <c r="F101"/>
  <c r="AR101" s="1"/>
  <c r="G101"/>
  <c r="AS101" s="1"/>
  <c r="H101"/>
  <c r="AT101" s="1"/>
  <c r="I101"/>
  <c r="AU101" s="1"/>
  <c r="J101"/>
  <c r="AV101" s="1"/>
  <c r="K101"/>
  <c r="AW101" s="1"/>
  <c r="L101"/>
  <c r="AX101" s="1"/>
  <c r="M101"/>
  <c r="AY101" s="1"/>
  <c r="N101"/>
  <c r="AZ101" s="1"/>
  <c r="O101"/>
  <c r="BA101" s="1"/>
  <c r="P101"/>
  <c r="BB101" s="1"/>
  <c r="Q101"/>
  <c r="BC101" s="1"/>
  <c r="R101"/>
  <c r="BD101" s="1"/>
  <c r="S101"/>
  <c r="BE101" s="1"/>
  <c r="F102"/>
  <c r="AR102" s="1"/>
  <c r="G102"/>
  <c r="AS102" s="1"/>
  <c r="H102"/>
  <c r="AT102" s="1"/>
  <c r="I102"/>
  <c r="AU102" s="1"/>
  <c r="J102"/>
  <c r="AV102" s="1"/>
  <c r="K102"/>
  <c r="AW102" s="1"/>
  <c r="L102"/>
  <c r="AX102" s="1"/>
  <c r="M102"/>
  <c r="AY102" s="1"/>
  <c r="N102"/>
  <c r="AZ102" s="1"/>
  <c r="O102"/>
  <c r="P102"/>
  <c r="BB102" s="1"/>
  <c r="Q102"/>
  <c r="BC102" s="1"/>
  <c r="R102"/>
  <c r="BD102" s="1"/>
  <c r="S102"/>
  <c r="BE102" s="1"/>
  <c r="AQ102"/>
  <c r="BA102"/>
  <c r="F103"/>
  <c r="AR103" s="1"/>
  <c r="G103"/>
  <c r="H103"/>
  <c r="AT103" s="1"/>
  <c r="I103"/>
  <c r="AU103" s="1"/>
  <c r="J103"/>
  <c r="AV103" s="1"/>
  <c r="K103"/>
  <c r="AW103" s="1"/>
  <c r="L103"/>
  <c r="AX103" s="1"/>
  <c r="M103"/>
  <c r="AY103" s="1"/>
  <c r="N103"/>
  <c r="AZ103" s="1"/>
  <c r="O103"/>
  <c r="BA103" s="1"/>
  <c r="P103"/>
  <c r="BB103" s="1"/>
  <c r="Q103"/>
  <c r="BC103" s="1"/>
  <c r="R103"/>
  <c r="BD103" s="1"/>
  <c r="S103"/>
  <c r="BE103" s="1"/>
  <c r="AQ103"/>
  <c r="F104"/>
  <c r="AR104" s="1"/>
  <c r="G104"/>
  <c r="AS104" s="1"/>
  <c r="H104"/>
  <c r="AT104" s="1"/>
  <c r="I104"/>
  <c r="AU104" s="1"/>
  <c r="J104"/>
  <c r="AV104" s="1"/>
  <c r="K104"/>
  <c r="AW104" s="1"/>
  <c r="L104"/>
  <c r="AX104" s="1"/>
  <c r="M104"/>
  <c r="AY104" s="1"/>
  <c r="N104"/>
  <c r="AZ104" s="1"/>
  <c r="O104"/>
  <c r="BA104" s="1"/>
  <c r="P104"/>
  <c r="BB104" s="1"/>
  <c r="Q104"/>
  <c r="BC104" s="1"/>
  <c r="R104"/>
  <c r="BD104" s="1"/>
  <c r="S104"/>
  <c r="BE104" s="1"/>
  <c r="D105"/>
  <c r="AP105" s="1"/>
  <c r="E105"/>
  <c r="AQ105" s="1"/>
  <c r="F105"/>
  <c r="AR105" s="1"/>
  <c r="G105"/>
  <c r="AS105" s="1"/>
  <c r="H105"/>
  <c r="AT105" s="1"/>
  <c r="I105"/>
  <c r="AU105" s="1"/>
  <c r="J105"/>
  <c r="AV105" s="1"/>
  <c r="K105"/>
  <c r="AW105" s="1"/>
  <c r="L105"/>
  <c r="AX105" s="1"/>
  <c r="M105"/>
  <c r="AY105" s="1"/>
  <c r="N105"/>
  <c r="AZ105" s="1"/>
  <c r="O105"/>
  <c r="BA105" s="1"/>
  <c r="P105"/>
  <c r="BB105" s="1"/>
  <c r="Q105"/>
  <c r="BC105" s="1"/>
  <c r="R105"/>
  <c r="BD105" s="1"/>
  <c r="S105"/>
  <c r="BE105" s="1"/>
  <c r="D106"/>
  <c r="AP106" s="1"/>
  <c r="E106"/>
  <c r="AQ106" s="1"/>
  <c r="F106"/>
  <c r="AR106" s="1"/>
  <c r="G106"/>
  <c r="AS106" s="1"/>
  <c r="H106"/>
  <c r="AT106" s="1"/>
  <c r="I106"/>
  <c r="AU106" s="1"/>
  <c r="J106"/>
  <c r="AV106" s="1"/>
  <c r="K106"/>
  <c r="AW106" s="1"/>
  <c r="L106"/>
  <c r="AX106" s="1"/>
  <c r="M106"/>
  <c r="AY106" s="1"/>
  <c r="N106"/>
  <c r="AZ106" s="1"/>
  <c r="O106"/>
  <c r="BA106" s="1"/>
  <c r="P106"/>
  <c r="BB106" s="1"/>
  <c r="Q106"/>
  <c r="BC106" s="1"/>
  <c r="R106"/>
  <c r="BD106" s="1"/>
  <c r="S106"/>
  <c r="BE106" s="1"/>
  <c r="D107"/>
  <c r="E107"/>
  <c r="AQ107" s="1"/>
  <c r="G107"/>
  <c r="AS107" s="1"/>
  <c r="H107"/>
  <c r="AT107" s="1"/>
  <c r="I107"/>
  <c r="AU107" s="1"/>
  <c r="J107"/>
  <c r="AV107" s="1"/>
  <c r="K107"/>
  <c r="AW107" s="1"/>
  <c r="L107"/>
  <c r="AX107" s="1"/>
  <c r="M107"/>
  <c r="AY107" s="1"/>
  <c r="N107"/>
  <c r="AZ107" s="1"/>
  <c r="O107"/>
  <c r="BA107" s="1"/>
  <c r="P107"/>
  <c r="BB107" s="1"/>
  <c r="Q107"/>
  <c r="BC107" s="1"/>
  <c r="R107"/>
  <c r="BD107" s="1"/>
  <c r="S107"/>
  <c r="BE107" s="1"/>
  <c r="AR107"/>
  <c r="D108"/>
  <c r="AP108" s="1"/>
  <c r="E108"/>
  <c r="F108"/>
  <c r="AR108" s="1"/>
  <c r="G108"/>
  <c r="H108"/>
  <c r="AT108" s="1"/>
  <c r="I108"/>
  <c r="AU108" s="1"/>
  <c r="J108"/>
  <c r="AV108" s="1"/>
  <c r="K108"/>
  <c r="AW108" s="1"/>
  <c r="L108"/>
  <c r="AX108" s="1"/>
  <c r="M108"/>
  <c r="AY108" s="1"/>
  <c r="N108"/>
  <c r="O108"/>
  <c r="BA108" s="1"/>
  <c r="P108"/>
  <c r="BB108" s="1"/>
  <c r="Q108"/>
  <c r="BC108" s="1"/>
  <c r="R108"/>
  <c r="BD108" s="1"/>
  <c r="S108"/>
  <c r="BE108" s="1"/>
  <c r="AZ108"/>
  <c r="D109"/>
  <c r="AP109" s="1"/>
  <c r="E109"/>
  <c r="F109"/>
  <c r="G109"/>
  <c r="H109"/>
  <c r="AT109" s="1"/>
  <c r="I109"/>
  <c r="AU109" s="1"/>
  <c r="J109"/>
  <c r="AV109" s="1"/>
  <c r="K109"/>
  <c r="AW109" s="1"/>
  <c r="L109"/>
  <c r="AX109" s="1"/>
  <c r="M109"/>
  <c r="AY109" s="1"/>
  <c r="N109"/>
  <c r="AZ109" s="1"/>
  <c r="O109"/>
  <c r="BA109" s="1"/>
  <c r="P109"/>
  <c r="BB109" s="1"/>
  <c r="Q109"/>
  <c r="BC109" s="1"/>
  <c r="R109"/>
  <c r="BD109" s="1"/>
  <c r="S109"/>
  <c r="BE109" s="1"/>
  <c r="AR109"/>
  <c r="D110"/>
  <c r="AP110" s="1"/>
  <c r="E110"/>
  <c r="F110"/>
  <c r="AR110" s="1"/>
  <c r="G110"/>
  <c r="AS110" s="1"/>
  <c r="H110"/>
  <c r="AT110" s="1"/>
  <c r="I110"/>
  <c r="J110"/>
  <c r="AV110" s="1"/>
  <c r="K110"/>
  <c r="AW110" s="1"/>
  <c r="L110"/>
  <c r="AX110" s="1"/>
  <c r="M110"/>
  <c r="AY110" s="1"/>
  <c r="N110"/>
  <c r="AZ110" s="1"/>
  <c r="O110"/>
  <c r="BA110" s="1"/>
  <c r="P110"/>
  <c r="BB110" s="1"/>
  <c r="Q110"/>
  <c r="BC110" s="1"/>
  <c r="R110"/>
  <c r="BD110" s="1"/>
  <c r="S110"/>
  <c r="BE110" s="1"/>
  <c r="D111"/>
  <c r="AP111" s="1"/>
  <c r="E111"/>
  <c r="AQ111" s="1"/>
  <c r="F111"/>
  <c r="AR111" s="1"/>
  <c r="G111"/>
  <c r="AS111" s="1"/>
  <c r="H111"/>
  <c r="AT111" s="1"/>
  <c r="I111"/>
  <c r="AU111" s="1"/>
  <c r="J111"/>
  <c r="AV111" s="1"/>
  <c r="K111"/>
  <c r="AW111" s="1"/>
  <c r="L111"/>
  <c r="AX111" s="1"/>
  <c r="M111"/>
  <c r="AY111" s="1"/>
  <c r="N111"/>
  <c r="AZ111" s="1"/>
  <c r="O111"/>
  <c r="BA111" s="1"/>
  <c r="P111"/>
  <c r="BB111" s="1"/>
  <c r="Q111"/>
  <c r="BC111" s="1"/>
  <c r="R111"/>
  <c r="BD111" s="1"/>
  <c r="S111"/>
  <c r="BE111" s="1"/>
  <c r="D112"/>
  <c r="AP112" s="1"/>
  <c r="E112"/>
  <c r="F112"/>
  <c r="AR112" s="1"/>
  <c r="G112"/>
  <c r="AS112" s="1"/>
  <c r="H112"/>
  <c r="AT112" s="1"/>
  <c r="I112"/>
  <c r="AU112" s="1"/>
  <c r="J112"/>
  <c r="AV112" s="1"/>
  <c r="K112"/>
  <c r="AW112" s="1"/>
  <c r="L112"/>
  <c r="M112"/>
  <c r="AY112" s="1"/>
  <c r="N112"/>
  <c r="AZ112" s="1"/>
  <c r="O112"/>
  <c r="BA112" s="1"/>
  <c r="P112"/>
  <c r="BB112" s="1"/>
  <c r="Q112"/>
  <c r="BC112" s="1"/>
  <c r="R112"/>
  <c r="BD112" s="1"/>
  <c r="S112"/>
  <c r="BE112" s="1"/>
  <c r="AX112"/>
  <c r="D113"/>
  <c r="AP113" s="1"/>
  <c r="E113"/>
  <c r="AQ113" s="1"/>
  <c r="F113"/>
  <c r="AR113" s="1"/>
  <c r="G113"/>
  <c r="AS113" s="1"/>
  <c r="H113"/>
  <c r="AT113" s="1"/>
  <c r="I113"/>
  <c r="AU113" s="1"/>
  <c r="J113"/>
  <c r="AV113" s="1"/>
  <c r="K113"/>
  <c r="AW113" s="1"/>
  <c r="L113"/>
  <c r="AX113" s="1"/>
  <c r="M113"/>
  <c r="AY113" s="1"/>
  <c r="N113"/>
  <c r="AZ113" s="1"/>
  <c r="O113"/>
  <c r="BA113" s="1"/>
  <c r="P113"/>
  <c r="Q113"/>
  <c r="BC113" s="1"/>
  <c r="R113"/>
  <c r="BD113" s="1"/>
  <c r="S113"/>
  <c r="BE113" s="1"/>
  <c r="BB113"/>
  <c r="D114"/>
  <c r="AP114" s="1"/>
  <c r="E114"/>
  <c r="AQ114" s="1"/>
  <c r="F114"/>
  <c r="AR114" s="1"/>
  <c r="G114"/>
  <c r="AS114" s="1"/>
  <c r="H114"/>
  <c r="AT114" s="1"/>
  <c r="I114"/>
  <c r="AU114" s="1"/>
  <c r="J114"/>
  <c r="AV114" s="1"/>
  <c r="K114"/>
  <c r="AW114" s="1"/>
  <c r="L114"/>
  <c r="AX114" s="1"/>
  <c r="M114"/>
  <c r="AY114" s="1"/>
  <c r="N114"/>
  <c r="AZ114" s="1"/>
  <c r="O114"/>
  <c r="BA114" s="1"/>
  <c r="P114"/>
  <c r="BB114" s="1"/>
  <c r="Q114"/>
  <c r="BC114" s="1"/>
  <c r="R114"/>
  <c r="BD114" s="1"/>
  <c r="S114"/>
  <c r="BE114" s="1"/>
  <c r="D115"/>
  <c r="AP115" s="1"/>
  <c r="E115"/>
  <c r="F115"/>
  <c r="AR115" s="1"/>
  <c r="G115"/>
  <c r="AS115" s="1"/>
  <c r="H115"/>
  <c r="AT115" s="1"/>
  <c r="I115"/>
  <c r="AU115" s="1"/>
  <c r="J115"/>
  <c r="AV115" s="1"/>
  <c r="K115"/>
  <c r="AW115" s="1"/>
  <c r="L115"/>
  <c r="AX115" s="1"/>
  <c r="M115"/>
  <c r="AY115" s="1"/>
  <c r="N115"/>
  <c r="AZ115" s="1"/>
  <c r="O115"/>
  <c r="BA115" s="1"/>
  <c r="P115"/>
  <c r="BB115" s="1"/>
  <c r="Q115"/>
  <c r="BC115" s="1"/>
  <c r="R115"/>
  <c r="S115"/>
  <c r="BE115" s="1"/>
  <c r="BD115"/>
  <c r="D116"/>
  <c r="AP116" s="1"/>
  <c r="E116"/>
  <c r="AQ116" s="1"/>
  <c r="F116"/>
  <c r="AR116" s="1"/>
  <c r="G116"/>
  <c r="AS116" s="1"/>
  <c r="H116"/>
  <c r="AT116" s="1"/>
  <c r="I116"/>
  <c r="AU116" s="1"/>
  <c r="J116"/>
  <c r="AV116" s="1"/>
  <c r="K116"/>
  <c r="AW116" s="1"/>
  <c r="L116"/>
  <c r="AX116" s="1"/>
  <c r="M116"/>
  <c r="AY116" s="1"/>
  <c r="N116"/>
  <c r="AZ116" s="1"/>
  <c r="O116"/>
  <c r="BA116" s="1"/>
  <c r="P116"/>
  <c r="BB116" s="1"/>
  <c r="Q116"/>
  <c r="BC116" s="1"/>
  <c r="R116"/>
  <c r="BD116" s="1"/>
  <c r="S116"/>
  <c r="BE116" s="1"/>
  <c r="D117"/>
  <c r="AP117" s="1"/>
  <c r="E117"/>
  <c r="F117"/>
  <c r="G117"/>
  <c r="H117"/>
  <c r="AT117" s="1"/>
  <c r="I117"/>
  <c r="AU117" s="1"/>
  <c r="J117"/>
  <c r="AV117" s="1"/>
  <c r="K117"/>
  <c r="AW117" s="1"/>
  <c r="L117"/>
  <c r="AX117" s="1"/>
  <c r="M117"/>
  <c r="AY117" s="1"/>
  <c r="N117"/>
  <c r="AZ117" s="1"/>
  <c r="O117"/>
  <c r="BA117" s="1"/>
  <c r="P117"/>
  <c r="BB117" s="1"/>
  <c r="Q117"/>
  <c r="BC117" s="1"/>
  <c r="R117"/>
  <c r="BD117" s="1"/>
  <c r="S117"/>
  <c r="BE117" s="1"/>
  <c r="AR117"/>
  <c r="D118"/>
  <c r="AP118" s="1"/>
  <c r="E118"/>
  <c r="F118"/>
  <c r="AR118" s="1"/>
  <c r="G118"/>
  <c r="H118"/>
  <c r="AT118" s="1"/>
  <c r="I118"/>
  <c r="AU118" s="1"/>
  <c r="J118"/>
  <c r="AV118" s="1"/>
  <c r="K118"/>
  <c r="AW118" s="1"/>
  <c r="L118"/>
  <c r="AX118" s="1"/>
  <c r="M118"/>
  <c r="AY118" s="1"/>
  <c r="N118"/>
  <c r="AZ118" s="1"/>
  <c r="O118"/>
  <c r="BA118" s="1"/>
  <c r="P118"/>
  <c r="BB118" s="1"/>
  <c r="Q118"/>
  <c r="BC118" s="1"/>
  <c r="R118"/>
  <c r="S118"/>
  <c r="BE118" s="1"/>
  <c r="BD118"/>
  <c r="D119"/>
  <c r="G119"/>
  <c r="AS119" s="1"/>
  <c r="H119"/>
  <c r="I119"/>
  <c r="AU119" s="1"/>
  <c r="K119"/>
  <c r="N119"/>
  <c r="AP119"/>
  <c r="AQ119"/>
  <c r="AT119"/>
  <c r="AV119"/>
  <c r="AW119"/>
  <c r="AZ119"/>
  <c r="D120"/>
  <c r="AP120" s="1"/>
  <c r="E120"/>
  <c r="AQ120" s="1"/>
  <c r="F120"/>
  <c r="AR120" s="1"/>
  <c r="G120"/>
  <c r="H120"/>
  <c r="AT120" s="1"/>
  <c r="I120"/>
  <c r="AU120" s="1"/>
  <c r="J120"/>
  <c r="AV120" s="1"/>
  <c r="K120"/>
  <c r="AW120" s="1"/>
  <c r="L120"/>
  <c r="AX120" s="1"/>
  <c r="M120"/>
  <c r="AY120" s="1"/>
  <c r="N120"/>
  <c r="AZ120" s="1"/>
  <c r="O120"/>
  <c r="BA120" s="1"/>
  <c r="P120"/>
  <c r="BB120" s="1"/>
  <c r="Q120"/>
  <c r="BC120" s="1"/>
  <c r="R120"/>
  <c r="BD120" s="1"/>
  <c r="S120"/>
  <c r="BE120" s="1"/>
  <c r="AO120"/>
  <c r="D121"/>
  <c r="AP121" s="1"/>
  <c r="E121"/>
  <c r="AQ121" s="1"/>
  <c r="F121"/>
  <c r="AR121" s="1"/>
  <c r="G121"/>
  <c r="H121"/>
  <c r="AT121" s="1"/>
  <c r="I121"/>
  <c r="AU121" s="1"/>
  <c r="J121"/>
  <c r="AV121" s="1"/>
  <c r="K121"/>
  <c r="AW121" s="1"/>
  <c r="L121"/>
  <c r="AX121" s="1"/>
  <c r="M121"/>
  <c r="AY121" s="1"/>
  <c r="N121"/>
  <c r="AZ121" s="1"/>
  <c r="O121"/>
  <c r="BA121" s="1"/>
  <c r="P121"/>
  <c r="BB121" s="1"/>
  <c r="Q121"/>
  <c r="BC121" s="1"/>
  <c r="R121"/>
  <c r="BD121" s="1"/>
  <c r="S121"/>
  <c r="BE121" s="1"/>
  <c r="AO121"/>
  <c r="D122"/>
  <c r="E122"/>
  <c r="AQ122" s="1"/>
  <c r="H122"/>
  <c r="AT122" s="1"/>
  <c r="I122"/>
  <c r="J122"/>
  <c r="AV122" s="1"/>
  <c r="K122"/>
  <c r="AW122" s="1"/>
  <c r="AO122"/>
  <c r="AU122"/>
  <c r="AZ122"/>
  <c r="D123"/>
  <c r="AP123" s="1"/>
  <c r="E123"/>
  <c r="AQ123" s="1"/>
  <c r="F123"/>
  <c r="AR123" s="1"/>
  <c r="G123"/>
  <c r="AS123" s="1"/>
  <c r="H123"/>
  <c r="AT123" s="1"/>
  <c r="I123"/>
  <c r="AU123" s="1"/>
  <c r="J123"/>
  <c r="AV123" s="1"/>
  <c r="K123"/>
  <c r="AW123" s="1"/>
  <c r="L123"/>
  <c r="AX123" s="1"/>
  <c r="M123"/>
  <c r="N123"/>
  <c r="AZ123" s="1"/>
  <c r="O123"/>
  <c r="BA123" s="1"/>
  <c r="P123"/>
  <c r="BB123" s="1"/>
  <c r="Q123"/>
  <c r="BC123" s="1"/>
  <c r="R123"/>
  <c r="BD123" s="1"/>
  <c r="S123"/>
  <c r="BE123" s="1"/>
  <c r="AO123"/>
  <c r="AY123"/>
  <c r="D124"/>
  <c r="AP124" s="1"/>
  <c r="E124"/>
  <c r="AQ124" s="1"/>
  <c r="F124"/>
  <c r="AR124" s="1"/>
  <c r="G124"/>
  <c r="AS124" s="1"/>
  <c r="H124"/>
  <c r="AT124" s="1"/>
  <c r="I124"/>
  <c r="AU124" s="1"/>
  <c r="J124"/>
  <c r="AV124" s="1"/>
  <c r="K124"/>
  <c r="AW124" s="1"/>
  <c r="L124"/>
  <c r="AX124" s="1"/>
  <c r="M124"/>
  <c r="AY124" s="1"/>
  <c r="N124"/>
  <c r="AZ124" s="1"/>
  <c r="O124"/>
  <c r="BA124" s="1"/>
  <c r="P124"/>
  <c r="BB124" s="1"/>
  <c r="Q124"/>
  <c r="R124"/>
  <c r="BD124" s="1"/>
  <c r="S124"/>
  <c r="BE124" s="1"/>
  <c r="AO124"/>
  <c r="BC124"/>
  <c r="D125"/>
  <c r="AP125" s="1"/>
  <c r="E125"/>
  <c r="AQ125" s="1"/>
  <c r="F125"/>
  <c r="AR125" s="1"/>
  <c r="G125"/>
  <c r="AS125" s="1"/>
  <c r="H125"/>
  <c r="AT125" s="1"/>
  <c r="I125"/>
  <c r="AU125" s="1"/>
  <c r="J125"/>
  <c r="AV125" s="1"/>
  <c r="K125"/>
  <c r="AW125" s="1"/>
  <c r="L125"/>
  <c r="AX125" s="1"/>
  <c r="M125"/>
  <c r="AY125" s="1"/>
  <c r="N125"/>
  <c r="O125"/>
  <c r="BA125" s="1"/>
  <c r="P125"/>
  <c r="BB125" s="1"/>
  <c r="Q125"/>
  <c r="BC125" s="1"/>
  <c r="R125"/>
  <c r="BD125" s="1"/>
  <c r="S125"/>
  <c r="BE125" s="1"/>
  <c r="AO125"/>
  <c r="AZ125"/>
  <c r="D126"/>
  <c r="AP126" s="1"/>
  <c r="E126"/>
  <c r="F126"/>
  <c r="AR126" s="1"/>
  <c r="G126"/>
  <c r="AS126" s="1"/>
  <c r="H126"/>
  <c r="AT126" s="1"/>
  <c r="I126"/>
  <c r="AU126" s="1"/>
  <c r="J126"/>
  <c r="K126"/>
  <c r="AW126" s="1"/>
  <c r="L126"/>
  <c r="AX126" s="1"/>
  <c r="M126"/>
  <c r="AY126" s="1"/>
  <c r="N126"/>
  <c r="AZ126" s="1"/>
  <c r="O126"/>
  <c r="BA126" s="1"/>
  <c r="P126"/>
  <c r="BB126" s="1"/>
  <c r="Q126"/>
  <c r="BC126" s="1"/>
  <c r="R126"/>
  <c r="S126"/>
  <c r="BE126" s="1"/>
  <c r="AO126"/>
  <c r="AV126"/>
  <c r="BD126"/>
  <c r="D127"/>
  <c r="AP127" s="1"/>
  <c r="E127"/>
  <c r="AQ127" s="1"/>
  <c r="F127"/>
  <c r="AR127" s="1"/>
  <c r="G127"/>
  <c r="AS127" s="1"/>
  <c r="H127"/>
  <c r="AT127" s="1"/>
  <c r="I127"/>
  <c r="AU127" s="1"/>
  <c r="J127"/>
  <c r="AV127" s="1"/>
  <c r="K127"/>
  <c r="AW127" s="1"/>
  <c r="L127"/>
  <c r="AX127" s="1"/>
  <c r="M127"/>
  <c r="N127"/>
  <c r="AZ127" s="1"/>
  <c r="O127"/>
  <c r="BA127" s="1"/>
  <c r="P127"/>
  <c r="BB127" s="1"/>
  <c r="Q127"/>
  <c r="BC127" s="1"/>
  <c r="R127"/>
  <c r="BD127" s="1"/>
  <c r="S127"/>
  <c r="BE127" s="1"/>
  <c r="AO127"/>
  <c r="AY127"/>
  <c r="D128"/>
  <c r="AP128" s="1"/>
  <c r="E128"/>
  <c r="AQ128" s="1"/>
  <c r="F128"/>
  <c r="AR128" s="1"/>
  <c r="G128"/>
  <c r="AS128" s="1"/>
  <c r="H128"/>
  <c r="AT128" s="1"/>
  <c r="I128"/>
  <c r="AU128" s="1"/>
  <c r="J128"/>
  <c r="AV128" s="1"/>
  <c r="K128"/>
  <c r="AW128" s="1"/>
  <c r="L128"/>
  <c r="AX128" s="1"/>
  <c r="M128"/>
  <c r="AY128" s="1"/>
  <c r="N128"/>
  <c r="AZ128" s="1"/>
  <c r="O128"/>
  <c r="BA128" s="1"/>
  <c r="P128"/>
  <c r="BB128" s="1"/>
  <c r="Q128"/>
  <c r="BC128" s="1"/>
  <c r="R128"/>
  <c r="BD128" s="1"/>
  <c r="S128"/>
  <c r="AO128"/>
  <c r="BE128"/>
  <c r="D129"/>
  <c r="AP129" s="1"/>
  <c r="E129"/>
  <c r="F129"/>
  <c r="AR129" s="1"/>
  <c r="G129"/>
  <c r="H129"/>
  <c r="AT129" s="1"/>
  <c r="I129"/>
  <c r="AU129" s="1"/>
  <c r="J129"/>
  <c r="AV129" s="1"/>
  <c r="K129"/>
  <c r="AW129" s="1"/>
  <c r="L129"/>
  <c r="AX129" s="1"/>
  <c r="M129"/>
  <c r="AY129" s="1"/>
  <c r="N129"/>
  <c r="AZ129" s="1"/>
  <c r="O129"/>
  <c r="BA129" s="1"/>
  <c r="P129"/>
  <c r="BB129" s="1"/>
  <c r="Q129"/>
  <c r="BC129" s="1"/>
  <c r="R129"/>
  <c r="BD129" s="1"/>
  <c r="S129"/>
  <c r="BE129" s="1"/>
  <c r="AO129"/>
  <c r="AS129"/>
  <c r="D130"/>
  <c r="AP130" s="1"/>
  <c r="E130"/>
  <c r="F130"/>
  <c r="AR130" s="1"/>
  <c r="G130"/>
  <c r="AS130" s="1"/>
  <c r="H130"/>
  <c r="AT130" s="1"/>
  <c r="I130"/>
  <c r="AU130" s="1"/>
  <c r="J130"/>
  <c r="AV130" s="1"/>
  <c r="K130"/>
  <c r="AW130" s="1"/>
  <c r="L130"/>
  <c r="AX130" s="1"/>
  <c r="M130"/>
  <c r="AY130" s="1"/>
  <c r="N130"/>
  <c r="AZ130" s="1"/>
  <c r="O130"/>
  <c r="P130"/>
  <c r="BB130" s="1"/>
  <c r="Q130"/>
  <c r="BC130" s="1"/>
  <c r="R130"/>
  <c r="BD130" s="1"/>
  <c r="S130"/>
  <c r="BE130" s="1"/>
  <c r="AO130"/>
  <c r="BA130"/>
  <c r="D131"/>
  <c r="AP131" s="1"/>
  <c r="E131"/>
  <c r="F131"/>
  <c r="AR131" s="1"/>
  <c r="G131"/>
  <c r="AS131" s="1"/>
  <c r="H131"/>
  <c r="AT131" s="1"/>
  <c r="I131"/>
  <c r="AU131" s="1"/>
  <c r="J131"/>
  <c r="AV131" s="1"/>
  <c r="K131"/>
  <c r="AW131" s="1"/>
  <c r="L131"/>
  <c r="AX131" s="1"/>
  <c r="M131"/>
  <c r="AY131" s="1"/>
  <c r="N131"/>
  <c r="AZ131" s="1"/>
  <c r="O131"/>
  <c r="BA131" s="1"/>
  <c r="P131"/>
  <c r="BB131" s="1"/>
  <c r="Q131"/>
  <c r="BC131" s="1"/>
  <c r="R131"/>
  <c r="BD131" s="1"/>
  <c r="S131"/>
  <c r="BE131" s="1"/>
  <c r="AO131"/>
  <c r="D132"/>
  <c r="AP132" s="1"/>
  <c r="E132"/>
  <c r="F132"/>
  <c r="AR132" s="1"/>
  <c r="G132"/>
  <c r="AS132" s="1"/>
  <c r="H132"/>
  <c r="AT132" s="1"/>
  <c r="I132"/>
  <c r="AU132" s="1"/>
  <c r="J132"/>
  <c r="AV132" s="1"/>
  <c r="K132"/>
  <c r="AW132" s="1"/>
  <c r="L132"/>
  <c r="AX132" s="1"/>
  <c r="M132"/>
  <c r="AY132" s="1"/>
  <c r="N132"/>
  <c r="AZ132" s="1"/>
  <c r="O132"/>
  <c r="BA132" s="1"/>
  <c r="P132"/>
  <c r="BB132" s="1"/>
  <c r="Q132"/>
  <c r="BC132" s="1"/>
  <c r="R132"/>
  <c r="BD132" s="1"/>
  <c r="S132"/>
  <c r="BE132" s="1"/>
  <c r="AO132"/>
  <c r="D133"/>
  <c r="AP133" s="1"/>
  <c r="E133"/>
  <c r="AQ133" s="1"/>
  <c r="F133"/>
  <c r="AR133" s="1"/>
  <c r="G133"/>
  <c r="AS133" s="1"/>
  <c r="H133"/>
  <c r="AT133" s="1"/>
  <c r="I133"/>
  <c r="AU133" s="1"/>
  <c r="J133"/>
  <c r="AV133" s="1"/>
  <c r="K133"/>
  <c r="AW133" s="1"/>
  <c r="L133"/>
  <c r="AX133" s="1"/>
  <c r="M133"/>
  <c r="AY133" s="1"/>
  <c r="N133"/>
  <c r="AZ133" s="1"/>
  <c r="O133"/>
  <c r="BA133" s="1"/>
  <c r="P133"/>
  <c r="BB133" s="1"/>
  <c r="Q133"/>
  <c r="R133"/>
  <c r="BD133" s="1"/>
  <c r="S133"/>
  <c r="BE133" s="1"/>
  <c r="AO133"/>
  <c r="BC133"/>
  <c r="D134"/>
  <c r="AP134" s="1"/>
  <c r="E134"/>
  <c r="AQ134" s="1"/>
  <c r="F134"/>
  <c r="AR134" s="1"/>
  <c r="G134"/>
  <c r="AS134" s="1"/>
  <c r="H134"/>
  <c r="AT134" s="1"/>
  <c r="I134"/>
  <c r="AU134" s="1"/>
  <c r="J134"/>
  <c r="AV134" s="1"/>
  <c r="K134"/>
  <c r="AW134" s="1"/>
  <c r="L134"/>
  <c r="AX134" s="1"/>
  <c r="M134"/>
  <c r="AY134" s="1"/>
  <c r="N134"/>
  <c r="AZ134" s="1"/>
  <c r="O134"/>
  <c r="BA134" s="1"/>
  <c r="P134"/>
  <c r="BB134" s="1"/>
  <c r="Q134"/>
  <c r="BC134" s="1"/>
  <c r="R134"/>
  <c r="BD134" s="1"/>
  <c r="S134"/>
  <c r="BE134" s="1"/>
  <c r="AO134"/>
  <c r="D135"/>
  <c r="AP135" s="1"/>
  <c r="E135"/>
  <c r="F135"/>
  <c r="AR135" s="1"/>
  <c r="G135"/>
  <c r="AS135" s="1"/>
  <c r="H135"/>
  <c r="AT135" s="1"/>
  <c r="I135"/>
  <c r="AU135" s="1"/>
  <c r="J135"/>
  <c r="AV135" s="1"/>
  <c r="K135"/>
  <c r="L135"/>
  <c r="AX135" s="1"/>
  <c r="M135"/>
  <c r="AY135" s="1"/>
  <c r="N135"/>
  <c r="AZ135" s="1"/>
  <c r="O135"/>
  <c r="BA135" s="1"/>
  <c r="P135"/>
  <c r="BB135" s="1"/>
  <c r="Q135"/>
  <c r="BC135" s="1"/>
  <c r="R135"/>
  <c r="BD135" s="1"/>
  <c r="S135"/>
  <c r="BE135" s="1"/>
  <c r="AO135"/>
  <c r="AW135"/>
  <c r="D136"/>
  <c r="AP136" s="1"/>
  <c r="E136"/>
  <c r="F136"/>
  <c r="AR136" s="1"/>
  <c r="G136"/>
  <c r="AS136" s="1"/>
  <c r="H136"/>
  <c r="AT136" s="1"/>
  <c r="I136"/>
  <c r="AU136" s="1"/>
  <c r="J136"/>
  <c r="AV136" s="1"/>
  <c r="K136"/>
  <c r="L136"/>
  <c r="AX136" s="1"/>
  <c r="M136"/>
  <c r="AY136" s="1"/>
  <c r="N136"/>
  <c r="AZ136" s="1"/>
  <c r="O136"/>
  <c r="BA136" s="1"/>
  <c r="P136"/>
  <c r="BB136" s="1"/>
  <c r="Q136"/>
  <c r="BC136" s="1"/>
  <c r="R136"/>
  <c r="BD136" s="1"/>
  <c r="S136"/>
  <c r="BE136" s="1"/>
  <c r="AO136"/>
  <c r="AW136"/>
  <c r="D137"/>
  <c r="AP137" s="1"/>
  <c r="E137"/>
  <c r="F137"/>
  <c r="AR137" s="1"/>
  <c r="G137"/>
  <c r="H137"/>
  <c r="AT137" s="1"/>
  <c r="I137"/>
  <c r="AU137" s="1"/>
  <c r="J137"/>
  <c r="AV137" s="1"/>
  <c r="K137"/>
  <c r="AW137" s="1"/>
  <c r="L137"/>
  <c r="AX137" s="1"/>
  <c r="M137"/>
  <c r="AY137" s="1"/>
  <c r="N137"/>
  <c r="AZ137" s="1"/>
  <c r="O137"/>
  <c r="BA137" s="1"/>
  <c r="P137"/>
  <c r="BB137" s="1"/>
  <c r="Q137"/>
  <c r="BC137" s="1"/>
  <c r="R137"/>
  <c r="BD137" s="1"/>
  <c r="S137"/>
  <c r="BE137" s="1"/>
  <c r="AO137"/>
  <c r="AS137"/>
  <c r="D138"/>
  <c r="AP138" s="1"/>
  <c r="E138"/>
  <c r="F138"/>
  <c r="AR138" s="1"/>
  <c r="G138"/>
  <c r="AS138" s="1"/>
  <c r="H138"/>
  <c r="AT138" s="1"/>
  <c r="I138"/>
  <c r="AU138" s="1"/>
  <c r="J138"/>
  <c r="AV138" s="1"/>
  <c r="K138"/>
  <c r="AW138" s="1"/>
  <c r="L138"/>
  <c r="AX138" s="1"/>
  <c r="M138"/>
  <c r="AY138" s="1"/>
  <c r="N138"/>
  <c r="AZ138" s="1"/>
  <c r="O138"/>
  <c r="BA138" s="1"/>
  <c r="P138"/>
  <c r="BB138" s="1"/>
  <c r="Q138"/>
  <c r="BC138" s="1"/>
  <c r="R138"/>
  <c r="BD138" s="1"/>
  <c r="S138"/>
  <c r="BE138" s="1"/>
  <c r="AO138"/>
  <c r="D139"/>
  <c r="AP139" s="1"/>
  <c r="E139"/>
  <c r="AQ139" s="1"/>
  <c r="F139"/>
  <c r="AR139" s="1"/>
  <c r="G139"/>
  <c r="AS139" s="1"/>
  <c r="H139"/>
  <c r="AT139" s="1"/>
  <c r="I139"/>
  <c r="J139"/>
  <c r="AV139" s="1"/>
  <c r="K139"/>
  <c r="AW139" s="1"/>
  <c r="L139"/>
  <c r="AX139" s="1"/>
  <c r="M139"/>
  <c r="AY139" s="1"/>
  <c r="N139"/>
  <c r="AZ139" s="1"/>
  <c r="O139"/>
  <c r="BA139" s="1"/>
  <c r="P139"/>
  <c r="BB139" s="1"/>
  <c r="Q139"/>
  <c r="BC139" s="1"/>
  <c r="R139"/>
  <c r="BD139" s="1"/>
  <c r="S139"/>
  <c r="BE139" s="1"/>
  <c r="AO139"/>
  <c r="AU139"/>
  <c r="D140"/>
  <c r="AP140" s="1"/>
  <c r="E140"/>
  <c r="AQ140" s="1"/>
  <c r="F140"/>
  <c r="AR140" s="1"/>
  <c r="G140"/>
  <c r="AS140" s="1"/>
  <c r="H140"/>
  <c r="AT140" s="1"/>
  <c r="I140"/>
  <c r="AU140" s="1"/>
  <c r="J140"/>
  <c r="AV140" s="1"/>
  <c r="K140"/>
  <c r="AW140" s="1"/>
  <c r="L140"/>
  <c r="AX140" s="1"/>
  <c r="M140"/>
  <c r="AY140" s="1"/>
  <c r="N140"/>
  <c r="AZ140" s="1"/>
  <c r="O140"/>
  <c r="BA140" s="1"/>
  <c r="P140"/>
  <c r="BB140" s="1"/>
  <c r="Q140"/>
  <c r="BC140" s="1"/>
  <c r="R140"/>
  <c r="BD140" s="1"/>
  <c r="S140"/>
  <c r="AO140"/>
  <c r="BE140"/>
  <c r="D141"/>
  <c r="AP141" s="1"/>
  <c r="E141"/>
  <c r="F141"/>
  <c r="AR141" s="1"/>
  <c r="G141"/>
  <c r="AS141" s="1"/>
  <c r="H141"/>
  <c r="AT141" s="1"/>
  <c r="I141"/>
  <c r="AU141" s="1"/>
  <c r="J141"/>
  <c r="AV141" s="1"/>
  <c r="K141"/>
  <c r="AW141" s="1"/>
  <c r="L141"/>
  <c r="AX141" s="1"/>
  <c r="M141"/>
  <c r="AY141" s="1"/>
  <c r="N141"/>
  <c r="AZ141" s="1"/>
  <c r="O141"/>
  <c r="P141"/>
  <c r="BB141" s="1"/>
  <c r="Q141"/>
  <c r="BC141" s="1"/>
  <c r="R141"/>
  <c r="BD141" s="1"/>
  <c r="S141"/>
  <c r="BE141" s="1"/>
  <c r="AO141"/>
  <c r="BA141"/>
  <c r="D142"/>
  <c r="AP142" s="1"/>
  <c r="E142"/>
  <c r="F142"/>
  <c r="AR142" s="1"/>
  <c r="G142"/>
  <c r="AS142" s="1"/>
  <c r="H142"/>
  <c r="AT142" s="1"/>
  <c r="I142"/>
  <c r="AU142" s="1"/>
  <c r="J142"/>
  <c r="AV142" s="1"/>
  <c r="K142"/>
  <c r="AW142" s="1"/>
  <c r="L142"/>
  <c r="AX142" s="1"/>
  <c r="M142"/>
  <c r="AY142" s="1"/>
  <c r="N142"/>
  <c r="AZ142" s="1"/>
  <c r="O142"/>
  <c r="BA142" s="1"/>
  <c r="P142"/>
  <c r="BB142" s="1"/>
  <c r="Q142"/>
  <c r="BC142" s="1"/>
  <c r="R142"/>
  <c r="BD142" s="1"/>
  <c r="S142"/>
  <c r="AO142"/>
  <c r="BE142"/>
  <c r="D143"/>
  <c r="AP143" s="1"/>
  <c r="E143"/>
  <c r="AQ143" s="1"/>
  <c r="F143"/>
  <c r="AR143" s="1"/>
  <c r="G143"/>
  <c r="AS143" s="1"/>
  <c r="H143"/>
  <c r="I143"/>
  <c r="J143"/>
  <c r="K143"/>
  <c r="L143"/>
  <c r="AX143" s="1"/>
  <c r="M143"/>
  <c r="N143"/>
  <c r="AZ143" s="1"/>
  <c r="O143"/>
  <c r="P143"/>
  <c r="BB143" s="1"/>
  <c r="Q143"/>
  <c r="R143"/>
  <c r="BD143" s="1"/>
  <c r="S143"/>
  <c r="AO143"/>
  <c r="D144"/>
  <c r="AP144" s="1"/>
  <c r="E144"/>
  <c r="F144"/>
  <c r="AR144" s="1"/>
  <c r="G144"/>
  <c r="AS144" s="1"/>
  <c r="H144"/>
  <c r="AT144" s="1"/>
  <c r="I144"/>
  <c r="AU144" s="1"/>
  <c r="J144"/>
  <c r="AV144" s="1"/>
  <c r="K144"/>
  <c r="AW144" s="1"/>
  <c r="L144"/>
  <c r="AX144" s="1"/>
  <c r="M144"/>
  <c r="AY144" s="1"/>
  <c r="N144"/>
  <c r="AZ144" s="1"/>
  <c r="O144"/>
  <c r="BA144" s="1"/>
  <c r="P144"/>
  <c r="BB144" s="1"/>
  <c r="Q144"/>
  <c r="BC144" s="1"/>
  <c r="R144"/>
  <c r="BD144" s="1"/>
  <c r="S144"/>
  <c r="BE144" s="1"/>
  <c r="AO144"/>
  <c r="D145"/>
  <c r="AP145" s="1"/>
  <c r="E145"/>
  <c r="AQ145" s="1"/>
  <c r="F145"/>
  <c r="AR145" s="1"/>
  <c r="G145"/>
  <c r="AS145" s="1"/>
  <c r="H145"/>
  <c r="AT145" s="1"/>
  <c r="I145"/>
  <c r="AU145" s="1"/>
  <c r="J145"/>
  <c r="AV145" s="1"/>
  <c r="K145"/>
  <c r="AW145" s="1"/>
  <c r="L145"/>
  <c r="AX145" s="1"/>
  <c r="M145"/>
  <c r="AY145" s="1"/>
  <c r="N145"/>
  <c r="AZ145" s="1"/>
  <c r="O145"/>
  <c r="BA145" s="1"/>
  <c r="P145"/>
  <c r="BB145" s="1"/>
  <c r="Q145"/>
  <c r="R145"/>
  <c r="BD145" s="1"/>
  <c r="S145"/>
  <c r="BE145" s="1"/>
  <c r="AO145"/>
  <c r="BC145"/>
  <c r="D146"/>
  <c r="AP146" s="1"/>
  <c r="E146"/>
  <c r="F146"/>
  <c r="AR146" s="1"/>
  <c r="G146"/>
  <c r="H146"/>
  <c r="B13" i="37" s="1"/>
  <c r="I146" i="34"/>
  <c r="J146"/>
  <c r="C13" i="37" s="1"/>
  <c r="K146" i="34"/>
  <c r="AW146" s="1"/>
  <c r="L146"/>
  <c r="AX146" s="1"/>
  <c r="M146"/>
  <c r="N146"/>
  <c r="O146"/>
  <c r="P146"/>
  <c r="BB146" s="1"/>
  <c r="Q146"/>
  <c r="R146"/>
  <c r="S146"/>
  <c r="AO146"/>
  <c r="D147"/>
  <c r="AP147" s="1"/>
  <c r="E147"/>
  <c r="F147"/>
  <c r="AR147" s="1"/>
  <c r="G147"/>
  <c r="AS147" s="1"/>
  <c r="H147"/>
  <c r="AT147" s="1"/>
  <c r="I147"/>
  <c r="AU147" s="1"/>
  <c r="J147"/>
  <c r="AV147" s="1"/>
  <c r="K147"/>
  <c r="L147"/>
  <c r="AX147" s="1"/>
  <c r="M147"/>
  <c r="AY147" s="1"/>
  <c r="N147"/>
  <c r="AZ147" s="1"/>
  <c r="O147"/>
  <c r="BA147" s="1"/>
  <c r="P147"/>
  <c r="BB147" s="1"/>
  <c r="Q147"/>
  <c r="BC147" s="1"/>
  <c r="R147"/>
  <c r="BD147" s="1"/>
  <c r="S147"/>
  <c r="BE147" s="1"/>
  <c r="AO147"/>
  <c r="AW147"/>
  <c r="D148"/>
  <c r="AP148" s="1"/>
  <c r="E148"/>
  <c r="F148"/>
  <c r="AR148" s="1"/>
  <c r="G148"/>
  <c r="AS148" s="1"/>
  <c r="H148"/>
  <c r="AT148" s="1"/>
  <c r="I148"/>
  <c r="AU148" s="1"/>
  <c r="J148"/>
  <c r="AV148" s="1"/>
  <c r="K148"/>
  <c r="AW148" s="1"/>
  <c r="L148"/>
  <c r="AX148" s="1"/>
  <c r="M148"/>
  <c r="AY148" s="1"/>
  <c r="N148"/>
  <c r="AZ148" s="1"/>
  <c r="O148"/>
  <c r="BA148" s="1"/>
  <c r="P148"/>
  <c r="BB148" s="1"/>
  <c r="Q148"/>
  <c r="BC148" s="1"/>
  <c r="R148"/>
  <c r="BD148" s="1"/>
  <c r="S148"/>
  <c r="AO148"/>
  <c r="BE148"/>
  <c r="D149"/>
  <c r="E149"/>
  <c r="F149"/>
  <c r="AR149" s="1"/>
  <c r="G149"/>
  <c r="AS149" s="1"/>
  <c r="AU149"/>
  <c r="AV149"/>
  <c r="K149"/>
  <c r="L149"/>
  <c r="AX149" s="1"/>
  <c r="M149"/>
  <c r="N149"/>
  <c r="AZ149" s="1"/>
  <c r="O149"/>
  <c r="BA149" s="1"/>
  <c r="P149"/>
  <c r="BB149" s="1"/>
  <c r="Q149"/>
  <c r="R149"/>
  <c r="S149"/>
  <c r="AO149"/>
  <c r="AW149"/>
  <c r="D150"/>
  <c r="AP150" s="1"/>
  <c r="E150"/>
  <c r="F150"/>
  <c r="AR150" s="1"/>
  <c r="G150"/>
  <c r="AS150" s="1"/>
  <c r="H150"/>
  <c r="AT150" s="1"/>
  <c r="I150"/>
  <c r="AU150" s="1"/>
  <c r="J150"/>
  <c r="AV150" s="1"/>
  <c r="K150"/>
  <c r="L150"/>
  <c r="AX150" s="1"/>
  <c r="M150"/>
  <c r="AY150" s="1"/>
  <c r="N150"/>
  <c r="AZ150" s="1"/>
  <c r="O150"/>
  <c r="BA150" s="1"/>
  <c r="P150"/>
  <c r="BB150" s="1"/>
  <c r="Q150"/>
  <c r="BC150" s="1"/>
  <c r="R150"/>
  <c r="BD150" s="1"/>
  <c r="S150"/>
  <c r="BE150" s="1"/>
  <c r="AO150"/>
  <c r="AW150"/>
  <c r="D151"/>
  <c r="AP151" s="1"/>
  <c r="E151"/>
  <c r="F151"/>
  <c r="AR151" s="1"/>
  <c r="G151"/>
  <c r="AS151" s="1"/>
  <c r="H151"/>
  <c r="AT151" s="1"/>
  <c r="I151"/>
  <c r="AU151" s="1"/>
  <c r="J151"/>
  <c r="AV151" s="1"/>
  <c r="K151"/>
  <c r="AW151" s="1"/>
  <c r="L151"/>
  <c r="AX151" s="1"/>
  <c r="M151"/>
  <c r="AY151" s="1"/>
  <c r="N151"/>
  <c r="AZ151" s="1"/>
  <c r="O151"/>
  <c r="P151"/>
  <c r="BB151" s="1"/>
  <c r="Q151"/>
  <c r="BC151" s="1"/>
  <c r="R151"/>
  <c r="BD151" s="1"/>
  <c r="S151"/>
  <c r="BE151" s="1"/>
  <c r="AO151"/>
  <c r="BA151"/>
  <c r="D152"/>
  <c r="AP152" s="1"/>
  <c r="E152"/>
  <c r="F152"/>
  <c r="AR152" s="1"/>
  <c r="G152"/>
  <c r="AS152" s="1"/>
  <c r="H152"/>
  <c r="AT152" s="1"/>
  <c r="I152"/>
  <c r="AU152" s="1"/>
  <c r="J152"/>
  <c r="AV152" s="1"/>
  <c r="K152"/>
  <c r="L152"/>
  <c r="AX152" s="1"/>
  <c r="M152"/>
  <c r="AY152" s="1"/>
  <c r="N152"/>
  <c r="AZ152" s="1"/>
  <c r="O152"/>
  <c r="BA152" s="1"/>
  <c r="P152"/>
  <c r="BB152" s="1"/>
  <c r="Q152"/>
  <c r="BC152" s="1"/>
  <c r="R152"/>
  <c r="BD152" s="1"/>
  <c r="S152"/>
  <c r="BE152" s="1"/>
  <c r="AO152"/>
  <c r="AW152"/>
  <c r="D153"/>
  <c r="AP153" s="1"/>
  <c r="E153"/>
  <c r="F153"/>
  <c r="AR153" s="1"/>
  <c r="G153"/>
  <c r="AS153" s="1"/>
  <c r="H153"/>
  <c r="AT153" s="1"/>
  <c r="I153"/>
  <c r="AU153" s="1"/>
  <c r="J153"/>
  <c r="AV153" s="1"/>
  <c r="K153"/>
  <c r="AW153" s="1"/>
  <c r="L153"/>
  <c r="AX153" s="1"/>
  <c r="M153"/>
  <c r="AY153" s="1"/>
  <c r="N153"/>
  <c r="AZ153" s="1"/>
  <c r="O153"/>
  <c r="BA153" s="1"/>
  <c r="P153"/>
  <c r="BB153" s="1"/>
  <c r="Q153"/>
  <c r="BC153" s="1"/>
  <c r="R153"/>
  <c r="BD153" s="1"/>
  <c r="S153"/>
  <c r="BE153" s="1"/>
  <c r="AO153"/>
  <c r="AP165"/>
  <c r="AQ165"/>
  <c r="AR165"/>
  <c r="AS165"/>
  <c r="AT165"/>
  <c r="AU165"/>
  <c r="AV165"/>
  <c r="AW165"/>
  <c r="AX165"/>
  <c r="AY165"/>
  <c r="AZ165"/>
  <c r="BA165"/>
  <c r="BB165"/>
  <c r="BC165"/>
  <c r="BD165"/>
  <c r="BE165"/>
  <c r="D169"/>
  <c r="D187" s="1"/>
  <c r="E169"/>
  <c r="E173" s="1"/>
  <c r="K169"/>
  <c r="K185" s="1"/>
  <c r="N169"/>
  <c r="N172" s="1"/>
  <c r="C170"/>
  <c r="D170"/>
  <c r="E170"/>
  <c r="F170"/>
  <c r="G170"/>
  <c r="H170"/>
  <c r="I170"/>
  <c r="J170"/>
  <c r="K170"/>
  <c r="L170"/>
  <c r="M170"/>
  <c r="N170"/>
  <c r="O170"/>
  <c r="P170"/>
  <c r="Q170"/>
  <c r="R170"/>
  <c r="S170"/>
  <c r="C171"/>
  <c r="D171"/>
  <c r="E171"/>
  <c r="F171"/>
  <c r="G171"/>
  <c r="H171"/>
  <c r="I171"/>
  <c r="J171"/>
  <c r="K171"/>
  <c r="L171"/>
  <c r="M171"/>
  <c r="N171"/>
  <c r="O171"/>
  <c r="P171"/>
  <c r="Q171"/>
  <c r="R171"/>
  <c r="S171"/>
  <c r="C172"/>
  <c r="F172"/>
  <c r="G172"/>
  <c r="H172"/>
  <c r="I172"/>
  <c r="J172"/>
  <c r="L172"/>
  <c r="M172"/>
  <c r="O172"/>
  <c r="P172"/>
  <c r="Q172"/>
  <c r="R172"/>
  <c r="S172"/>
  <c r="C173"/>
  <c r="F173"/>
  <c r="G173"/>
  <c r="H173"/>
  <c r="I173"/>
  <c r="J173"/>
  <c r="L173"/>
  <c r="M173"/>
  <c r="O173"/>
  <c r="P173"/>
  <c r="Q173"/>
  <c r="R173"/>
  <c r="S173"/>
  <c r="C174"/>
  <c r="E174"/>
  <c r="F174"/>
  <c r="G174"/>
  <c r="H174"/>
  <c r="I174"/>
  <c r="J174"/>
  <c r="L174"/>
  <c r="M174"/>
  <c r="O174"/>
  <c r="P174"/>
  <c r="Q174"/>
  <c r="R174"/>
  <c r="S174"/>
  <c r="C175"/>
  <c r="F175"/>
  <c r="G175"/>
  <c r="H175"/>
  <c r="I175"/>
  <c r="J175"/>
  <c r="L175"/>
  <c r="M175"/>
  <c r="O175"/>
  <c r="P175"/>
  <c r="Q175"/>
  <c r="R175"/>
  <c r="S175"/>
  <c r="C176"/>
  <c r="F176"/>
  <c r="G176"/>
  <c r="H176"/>
  <c r="I176"/>
  <c r="J176"/>
  <c r="L176"/>
  <c r="M176"/>
  <c r="O176"/>
  <c r="P176"/>
  <c r="Q176"/>
  <c r="R176"/>
  <c r="S176"/>
  <c r="C177"/>
  <c r="F177"/>
  <c r="G177"/>
  <c r="H177"/>
  <c r="I177"/>
  <c r="J177"/>
  <c r="L177"/>
  <c r="M177"/>
  <c r="O177"/>
  <c r="P177"/>
  <c r="Q177"/>
  <c r="R177"/>
  <c r="S177"/>
  <c r="C178"/>
  <c r="F178"/>
  <c r="G178"/>
  <c r="H178"/>
  <c r="I178"/>
  <c r="J178"/>
  <c r="L178"/>
  <c r="M178"/>
  <c r="O178"/>
  <c r="P178"/>
  <c r="Q178"/>
  <c r="R178"/>
  <c r="S178"/>
  <c r="C179"/>
  <c r="F179"/>
  <c r="G179"/>
  <c r="H179"/>
  <c r="I179"/>
  <c r="J179"/>
  <c r="L179"/>
  <c r="M179"/>
  <c r="O179"/>
  <c r="P179"/>
  <c r="Q179"/>
  <c r="R179"/>
  <c r="S179"/>
  <c r="C180"/>
  <c r="F180"/>
  <c r="G180"/>
  <c r="H180"/>
  <c r="I180"/>
  <c r="J180"/>
  <c r="L180"/>
  <c r="M180"/>
  <c r="O180"/>
  <c r="P180"/>
  <c r="Q180"/>
  <c r="R180"/>
  <c r="S180"/>
  <c r="C181"/>
  <c r="F181"/>
  <c r="G181"/>
  <c r="H181"/>
  <c r="I181"/>
  <c r="J181"/>
  <c r="L181"/>
  <c r="M181"/>
  <c r="O181"/>
  <c r="P181"/>
  <c r="Q181"/>
  <c r="R181"/>
  <c r="S181"/>
  <c r="C182"/>
  <c r="E182"/>
  <c r="F182"/>
  <c r="G182"/>
  <c r="H182"/>
  <c r="I182"/>
  <c r="J182"/>
  <c r="L182"/>
  <c r="M182"/>
  <c r="O182"/>
  <c r="P182"/>
  <c r="Q182"/>
  <c r="R182"/>
  <c r="S182"/>
  <c r="C183"/>
  <c r="F183"/>
  <c r="G183"/>
  <c r="H183"/>
  <c r="I183"/>
  <c r="J183"/>
  <c r="L183"/>
  <c r="M183"/>
  <c r="O183"/>
  <c r="P183"/>
  <c r="Q183"/>
  <c r="R183"/>
  <c r="S183"/>
  <c r="C184"/>
  <c r="F184"/>
  <c r="G184"/>
  <c r="H184"/>
  <c r="I184"/>
  <c r="J184"/>
  <c r="L184"/>
  <c r="M184"/>
  <c r="O184"/>
  <c r="P184"/>
  <c r="Q184"/>
  <c r="R184"/>
  <c r="S184"/>
  <c r="C185"/>
  <c r="F185"/>
  <c r="G185"/>
  <c r="H185"/>
  <c r="I185"/>
  <c r="J185"/>
  <c r="L185"/>
  <c r="M185"/>
  <c r="O185"/>
  <c r="P185"/>
  <c r="Q185"/>
  <c r="R185"/>
  <c r="S185"/>
  <c r="C186"/>
  <c r="D186"/>
  <c r="F186"/>
  <c r="G186"/>
  <c r="H186"/>
  <c r="I186"/>
  <c r="J186"/>
  <c r="L186"/>
  <c r="M186"/>
  <c r="O186"/>
  <c r="P186"/>
  <c r="Q186"/>
  <c r="R186"/>
  <c r="S186"/>
  <c r="F187"/>
  <c r="G187"/>
  <c r="H187"/>
  <c r="I187"/>
  <c r="J187"/>
  <c r="L187"/>
  <c r="M187"/>
  <c r="O187"/>
  <c r="P187"/>
  <c r="Q187"/>
  <c r="R187"/>
  <c r="S187"/>
  <c r="F188"/>
  <c r="G188"/>
  <c r="H188"/>
  <c r="I188"/>
  <c r="J188"/>
  <c r="L188"/>
  <c r="M188"/>
  <c r="N188"/>
  <c r="O188"/>
  <c r="P188"/>
  <c r="Q188"/>
  <c r="R188"/>
  <c r="S188"/>
  <c r="D189"/>
  <c r="F189"/>
  <c r="G189"/>
  <c r="H189"/>
  <c r="I189"/>
  <c r="J189"/>
  <c r="L189"/>
  <c r="M189"/>
  <c r="O189"/>
  <c r="P189"/>
  <c r="Q189"/>
  <c r="R189"/>
  <c r="S189"/>
  <c r="E190"/>
  <c r="F190"/>
  <c r="G190"/>
  <c r="H190"/>
  <c r="I190"/>
  <c r="J190"/>
  <c r="L190"/>
  <c r="M190"/>
  <c r="N190"/>
  <c r="O190"/>
  <c r="P190"/>
  <c r="Q190"/>
  <c r="R190"/>
  <c r="S190"/>
  <c r="E191"/>
  <c r="F191"/>
  <c r="G191"/>
  <c r="H191"/>
  <c r="I191"/>
  <c r="J191"/>
  <c r="K191"/>
  <c r="L191"/>
  <c r="M191"/>
  <c r="N191"/>
  <c r="O191"/>
  <c r="P191"/>
  <c r="Q191"/>
  <c r="R191"/>
  <c r="S191"/>
  <c r="E192"/>
  <c r="F192"/>
  <c r="G192"/>
  <c r="H192"/>
  <c r="I192"/>
  <c r="J192"/>
  <c r="L192"/>
  <c r="M192"/>
  <c r="N192"/>
  <c r="O192"/>
  <c r="P192"/>
  <c r="Q192"/>
  <c r="R192"/>
  <c r="S192"/>
  <c r="D193"/>
  <c r="E193"/>
  <c r="F193"/>
  <c r="G193"/>
  <c r="H193"/>
  <c r="I193"/>
  <c r="J193"/>
  <c r="L193"/>
  <c r="M193"/>
  <c r="N193"/>
  <c r="O193"/>
  <c r="P193"/>
  <c r="Q193"/>
  <c r="R193"/>
  <c r="S193"/>
  <c r="D194"/>
  <c r="E194"/>
  <c r="F194"/>
  <c r="G194"/>
  <c r="H194"/>
  <c r="I194"/>
  <c r="J194"/>
  <c r="L194"/>
  <c r="M194"/>
  <c r="N194"/>
  <c r="O194"/>
  <c r="P194"/>
  <c r="Q194"/>
  <c r="R194"/>
  <c r="S194"/>
  <c r="D195"/>
  <c r="E195"/>
  <c r="F195"/>
  <c r="G195"/>
  <c r="H195"/>
  <c r="I195"/>
  <c r="J195"/>
  <c r="L195"/>
  <c r="M195"/>
  <c r="N195"/>
  <c r="O195"/>
  <c r="P195"/>
  <c r="Q195"/>
  <c r="R195"/>
  <c r="S195"/>
  <c r="D196"/>
  <c r="E196"/>
  <c r="F196"/>
  <c r="G196"/>
  <c r="H196"/>
  <c r="I196"/>
  <c r="J196"/>
  <c r="L196"/>
  <c r="M196"/>
  <c r="N196"/>
  <c r="O196"/>
  <c r="P196"/>
  <c r="Q196"/>
  <c r="R196"/>
  <c r="S196"/>
  <c r="D197"/>
  <c r="E197"/>
  <c r="F197"/>
  <c r="G197"/>
  <c r="H197"/>
  <c r="I197"/>
  <c r="J197"/>
  <c r="L197"/>
  <c r="M197"/>
  <c r="N197"/>
  <c r="O197"/>
  <c r="P197"/>
  <c r="Q197"/>
  <c r="R197"/>
  <c r="S197"/>
  <c r="D198"/>
  <c r="E198"/>
  <c r="F198"/>
  <c r="G198"/>
  <c r="H198"/>
  <c r="I198"/>
  <c r="J198"/>
  <c r="L198"/>
  <c r="M198"/>
  <c r="N198"/>
  <c r="O198"/>
  <c r="P198"/>
  <c r="Q198"/>
  <c r="R198"/>
  <c r="S198"/>
  <c r="D199"/>
  <c r="E199"/>
  <c r="K199"/>
  <c r="N199"/>
  <c r="D200"/>
  <c r="E200"/>
  <c r="F200"/>
  <c r="G200"/>
  <c r="H200"/>
  <c r="I200"/>
  <c r="J200"/>
  <c r="K200"/>
  <c r="L200"/>
  <c r="M200"/>
  <c r="N200"/>
  <c r="O200"/>
  <c r="P200"/>
  <c r="Q200"/>
  <c r="R200"/>
  <c r="S200"/>
  <c r="D201"/>
  <c r="E201"/>
  <c r="F201"/>
  <c r="G201"/>
  <c r="H201"/>
  <c r="I201"/>
  <c r="J201"/>
  <c r="K201"/>
  <c r="L201"/>
  <c r="M201"/>
  <c r="N201"/>
  <c r="O201"/>
  <c r="P201"/>
  <c r="Q201"/>
  <c r="R201"/>
  <c r="S201"/>
  <c r="D202"/>
  <c r="E202"/>
  <c r="H202"/>
  <c r="I202"/>
  <c r="J202"/>
  <c r="K202"/>
  <c r="N202"/>
  <c r="D203"/>
  <c r="E203"/>
  <c r="F203"/>
  <c r="G203"/>
  <c r="H203"/>
  <c r="I203"/>
  <c r="J203"/>
  <c r="K203"/>
  <c r="N203"/>
  <c r="D204"/>
  <c r="E204"/>
  <c r="F204"/>
  <c r="G204"/>
  <c r="H204"/>
  <c r="I204"/>
  <c r="J204"/>
  <c r="K204"/>
  <c r="N204"/>
  <c r="D205"/>
  <c r="E205"/>
  <c r="G205"/>
  <c r="H205"/>
  <c r="I205"/>
  <c r="J205"/>
  <c r="K205"/>
  <c r="N205"/>
  <c r="D206"/>
  <c r="E206"/>
  <c r="F206"/>
  <c r="G206"/>
  <c r="H206"/>
  <c r="I206"/>
  <c r="J206"/>
  <c r="K206"/>
  <c r="N206"/>
  <c r="D207"/>
  <c r="E207"/>
  <c r="F207"/>
  <c r="G207"/>
  <c r="H207"/>
  <c r="I207"/>
  <c r="J207"/>
  <c r="K207"/>
  <c r="N207"/>
  <c r="D208"/>
  <c r="E208"/>
  <c r="G208"/>
  <c r="H208"/>
  <c r="I208"/>
  <c r="J208"/>
  <c r="K208"/>
  <c r="N208"/>
  <c r="D209"/>
  <c r="E209"/>
  <c r="F209"/>
  <c r="G209"/>
  <c r="H209"/>
  <c r="I209"/>
  <c r="J209"/>
  <c r="K209"/>
  <c r="N209"/>
  <c r="D210"/>
  <c r="E210"/>
  <c r="F210"/>
  <c r="G210"/>
  <c r="H210"/>
  <c r="I210"/>
  <c r="J210"/>
  <c r="K210"/>
  <c r="N210"/>
  <c r="D211"/>
  <c r="E211"/>
  <c r="F211"/>
  <c r="G211"/>
  <c r="K211"/>
  <c r="N211"/>
  <c r="D212"/>
  <c r="E212"/>
  <c r="F212"/>
  <c r="G212"/>
  <c r="H212"/>
  <c r="I212"/>
  <c r="J212"/>
  <c r="K212"/>
  <c r="N212"/>
  <c r="D213"/>
  <c r="E213"/>
  <c r="F213"/>
  <c r="G213"/>
  <c r="H213"/>
  <c r="I213"/>
  <c r="J213"/>
  <c r="K213"/>
  <c r="N213"/>
  <c r="D214"/>
  <c r="E214"/>
  <c r="F214"/>
  <c r="G214"/>
  <c r="H214"/>
  <c r="I214"/>
  <c r="J214"/>
  <c r="K214"/>
  <c r="N214"/>
  <c r="D215"/>
  <c r="E215"/>
  <c r="F215"/>
  <c r="G215"/>
  <c r="H215"/>
  <c r="I215"/>
  <c r="J215"/>
  <c r="K215"/>
  <c r="N215"/>
  <c r="D216"/>
  <c r="E216"/>
  <c r="F216"/>
  <c r="G216"/>
  <c r="H216"/>
  <c r="I216"/>
  <c r="J216"/>
  <c r="K216"/>
  <c r="N216"/>
  <c r="D217"/>
  <c r="E217"/>
  <c r="F217"/>
  <c r="G217"/>
  <c r="K217"/>
  <c r="N217"/>
  <c r="D218"/>
  <c r="E218"/>
  <c r="F218"/>
  <c r="G218"/>
  <c r="H218"/>
  <c r="I218"/>
  <c r="J218"/>
  <c r="K218"/>
  <c r="N218"/>
  <c r="D219"/>
  <c r="E219"/>
  <c r="F219"/>
  <c r="G219"/>
  <c r="H219"/>
  <c r="I219"/>
  <c r="J219"/>
  <c r="K219"/>
  <c r="N219"/>
  <c r="D220"/>
  <c r="E220"/>
  <c r="F220"/>
  <c r="G220"/>
  <c r="K220"/>
  <c r="N220"/>
  <c r="D221"/>
  <c r="E221"/>
  <c r="F221"/>
  <c r="G221"/>
  <c r="H221"/>
  <c r="I221"/>
  <c r="J221"/>
  <c r="K221"/>
  <c r="N221"/>
  <c r="D222"/>
  <c r="E222"/>
  <c r="F222"/>
  <c r="G222"/>
  <c r="H222"/>
  <c r="I222"/>
  <c r="J222"/>
  <c r="K222"/>
  <c r="N222"/>
  <c r="D223"/>
  <c r="E223"/>
  <c r="F223"/>
  <c r="G223"/>
  <c r="K223"/>
  <c r="N223"/>
  <c r="D224"/>
  <c r="E224"/>
  <c r="F224"/>
  <c r="G224"/>
  <c r="H224"/>
  <c r="I224"/>
  <c r="J224"/>
  <c r="K224"/>
  <c r="N224"/>
  <c r="D225"/>
  <c r="E225"/>
  <c r="F225"/>
  <c r="G225"/>
  <c r="H225"/>
  <c r="I225"/>
  <c r="J225"/>
  <c r="K225"/>
  <c r="N225"/>
  <c r="D226"/>
  <c r="E226"/>
  <c r="F226"/>
  <c r="G226"/>
  <c r="K226"/>
  <c r="N226"/>
  <c r="D227"/>
  <c r="E227"/>
  <c r="F227"/>
  <c r="G227"/>
  <c r="H227"/>
  <c r="I227"/>
  <c r="J227"/>
  <c r="K227"/>
  <c r="N227"/>
  <c r="D228"/>
  <c r="E228"/>
  <c r="F228"/>
  <c r="G228"/>
  <c r="H228"/>
  <c r="I228"/>
  <c r="J228"/>
  <c r="K228"/>
  <c r="N228"/>
  <c r="D229"/>
  <c r="E229"/>
  <c r="F229"/>
  <c r="G229"/>
  <c r="K229"/>
  <c r="N229"/>
  <c r="D230"/>
  <c r="E230"/>
  <c r="F230"/>
  <c r="G230"/>
  <c r="K230"/>
  <c r="N230"/>
  <c r="D231"/>
  <c r="E231"/>
  <c r="F231"/>
  <c r="G231"/>
  <c r="K231"/>
  <c r="N231"/>
  <c r="D232"/>
  <c r="E232"/>
  <c r="F232"/>
  <c r="G232"/>
  <c r="H584" i="30" s="1"/>
  <c r="K232" i="34"/>
  <c r="N232"/>
  <c r="D233"/>
  <c r="E233"/>
  <c r="F233"/>
  <c r="G233"/>
  <c r="K233"/>
  <c r="N233"/>
  <c r="D234"/>
  <c r="E234"/>
  <c r="F234"/>
  <c r="G234"/>
  <c r="K234"/>
  <c r="N234"/>
  <c r="D235"/>
  <c r="E235"/>
  <c r="F235"/>
  <c r="G235"/>
  <c r="K235"/>
  <c r="N235"/>
  <c r="D236"/>
  <c r="E236"/>
  <c r="F236"/>
  <c r="G236"/>
  <c r="K236"/>
  <c r="N236"/>
  <c r="R3" i="17"/>
  <c r="AM3"/>
  <c r="AN3"/>
  <c r="AO3"/>
  <c r="AP3"/>
  <c r="CD3"/>
  <c r="CE3"/>
  <c r="CF3"/>
  <c r="CG3"/>
  <c r="CH3"/>
  <c r="CI3"/>
  <c r="CJ3"/>
  <c r="CK3"/>
  <c r="CL3"/>
  <c r="CM3"/>
  <c r="CN3"/>
  <c r="CO3"/>
  <c r="CP3"/>
  <c r="CQ3"/>
  <c r="CR3"/>
  <c r="CS3"/>
  <c r="CW3"/>
  <c r="CW4" s="1"/>
  <c r="CX3"/>
  <c r="CX4" s="1"/>
  <c r="CY3"/>
  <c r="CY4" s="1"/>
  <c r="CZ3"/>
  <c r="CZ5" s="1"/>
  <c r="DA3"/>
  <c r="DA4" s="1"/>
  <c r="DB3"/>
  <c r="DC3"/>
  <c r="DC4" s="1"/>
  <c r="DD3"/>
  <c r="DD4" s="1"/>
  <c r="DE3"/>
  <c r="DE4" s="1"/>
  <c r="DF3"/>
  <c r="DF4" s="1"/>
  <c r="DG3"/>
  <c r="DG4" s="1"/>
  <c r="DH3"/>
  <c r="DH4" s="1"/>
  <c r="DI3"/>
  <c r="DI4" s="1"/>
  <c r="DJ3"/>
  <c r="DJ4" s="1"/>
  <c r="DK3"/>
  <c r="DK4" s="1"/>
  <c r="DL3"/>
  <c r="DL4" s="1"/>
  <c r="R4"/>
  <c r="T4"/>
  <c r="U4"/>
  <c r="V4"/>
  <c r="W4"/>
  <c r="X4"/>
  <c r="Y4"/>
  <c r="Z4"/>
  <c r="AA4"/>
  <c r="AB4"/>
  <c r="AC4"/>
  <c r="AD4"/>
  <c r="AE4"/>
  <c r="AF4"/>
  <c r="AG4"/>
  <c r="AH4"/>
  <c r="AI4"/>
  <c r="AM4"/>
  <c r="AN4"/>
  <c r="AO4"/>
  <c r="AP4"/>
  <c r="BM4"/>
  <c r="BN4"/>
  <c r="BO4"/>
  <c r="CF4" s="1"/>
  <c r="BP4"/>
  <c r="CG4" s="1"/>
  <c r="BQ4"/>
  <c r="BR4"/>
  <c r="CI4" s="1"/>
  <c r="BS4"/>
  <c r="CJ4" s="1"/>
  <c r="BT4"/>
  <c r="BU4"/>
  <c r="BV4"/>
  <c r="BW4"/>
  <c r="CN4" s="1"/>
  <c r="BX4"/>
  <c r="CO4" s="1"/>
  <c r="BY4"/>
  <c r="BZ4"/>
  <c r="CQ4" s="1"/>
  <c r="CA4"/>
  <c r="CR4" s="1"/>
  <c r="CB4"/>
  <c r="CD4"/>
  <c r="CE4"/>
  <c r="CH4"/>
  <c r="CK4"/>
  <c r="CL4"/>
  <c r="CM4"/>
  <c r="CP4"/>
  <c r="CS4"/>
  <c r="DB4"/>
  <c r="R5"/>
  <c r="T5"/>
  <c r="U5"/>
  <c r="V5"/>
  <c r="W5"/>
  <c r="X5"/>
  <c r="Y5"/>
  <c r="Z5"/>
  <c r="BS5" s="1"/>
  <c r="AA5"/>
  <c r="BT5" s="1"/>
  <c r="AB5"/>
  <c r="BU5" s="1"/>
  <c r="AC5"/>
  <c r="BV5" s="1"/>
  <c r="AD5"/>
  <c r="BW5" s="1"/>
  <c r="AE5"/>
  <c r="BX5" s="1"/>
  <c r="AF5"/>
  <c r="BY5" s="1"/>
  <c r="AG5"/>
  <c r="BZ5" s="1"/>
  <c r="AH5"/>
  <c r="CA5" s="1"/>
  <c r="AI5"/>
  <c r="CB5" s="1"/>
  <c r="AM5"/>
  <c r="AN5"/>
  <c r="AO5"/>
  <c r="AP5"/>
  <c r="BM5"/>
  <c r="BN5"/>
  <c r="BO5"/>
  <c r="BP5"/>
  <c r="BQ5"/>
  <c r="BR5"/>
  <c r="CY5"/>
  <c r="DB5"/>
  <c r="DD5"/>
  <c r="DG5"/>
  <c r="DJ5"/>
  <c r="DK5"/>
  <c r="DL5"/>
  <c r="R6"/>
  <c r="T6"/>
  <c r="U6"/>
  <c r="V6"/>
  <c r="W6"/>
  <c r="X6"/>
  <c r="Y6"/>
  <c r="Z6"/>
  <c r="AA6"/>
  <c r="AB6"/>
  <c r="AC6"/>
  <c r="AD6"/>
  <c r="AE6"/>
  <c r="AF6"/>
  <c r="AG6"/>
  <c r="AH6"/>
  <c r="AI6"/>
  <c r="AM6"/>
  <c r="AN6"/>
  <c r="AO6"/>
  <c r="AP6"/>
  <c r="BM6"/>
  <c r="BN6"/>
  <c r="BO6"/>
  <c r="BP6"/>
  <c r="BQ6"/>
  <c r="BR6"/>
  <c r="BS6"/>
  <c r="BT6"/>
  <c r="BU6"/>
  <c r="BV6"/>
  <c r="BW6"/>
  <c r="BX6"/>
  <c r="BY6"/>
  <c r="BZ6"/>
  <c r="CA6"/>
  <c r="CB6"/>
  <c r="DB6"/>
  <c r="DD6"/>
  <c r="DH6"/>
  <c r="DJ6"/>
  <c r="DL6"/>
  <c r="R7"/>
  <c r="T7"/>
  <c r="BM7" s="1"/>
  <c r="U7"/>
  <c r="V7"/>
  <c r="BO7" s="1"/>
  <c r="W7"/>
  <c r="BP7" s="1"/>
  <c r="X7"/>
  <c r="Y7"/>
  <c r="BR7" s="1"/>
  <c r="Z7"/>
  <c r="AA7"/>
  <c r="BT7" s="1"/>
  <c r="AB7"/>
  <c r="BU7" s="1"/>
  <c r="AC7"/>
  <c r="BV7" s="1"/>
  <c r="AD7"/>
  <c r="BW7" s="1"/>
  <c r="AE7"/>
  <c r="BX7" s="1"/>
  <c r="AF7"/>
  <c r="BY7" s="1"/>
  <c r="AG7"/>
  <c r="BZ7" s="1"/>
  <c r="AH7"/>
  <c r="CA7" s="1"/>
  <c r="AI7"/>
  <c r="CB7" s="1"/>
  <c r="AM7"/>
  <c r="AN7"/>
  <c r="AO7"/>
  <c r="AP7"/>
  <c r="BQ7"/>
  <c r="CZ7"/>
  <c r="DB7"/>
  <c r="DD7"/>
  <c r="DH7"/>
  <c r="DJ7"/>
  <c r="DL7"/>
  <c r="R8"/>
  <c r="T8"/>
  <c r="BM8" s="1"/>
  <c r="U8"/>
  <c r="BN8" s="1"/>
  <c r="V8"/>
  <c r="BO8" s="1"/>
  <c r="W8"/>
  <c r="BP8" s="1"/>
  <c r="X8"/>
  <c r="BQ8" s="1"/>
  <c r="Y8"/>
  <c r="BR8" s="1"/>
  <c r="Z8"/>
  <c r="BS8" s="1"/>
  <c r="AA8"/>
  <c r="BT8" s="1"/>
  <c r="AB8"/>
  <c r="BU8" s="1"/>
  <c r="AC8"/>
  <c r="BV8" s="1"/>
  <c r="AD8"/>
  <c r="BW8" s="1"/>
  <c r="AE8"/>
  <c r="BX8" s="1"/>
  <c r="AF8"/>
  <c r="BY8" s="1"/>
  <c r="AG8"/>
  <c r="BZ8" s="1"/>
  <c r="AH8"/>
  <c r="CA8" s="1"/>
  <c r="AI8"/>
  <c r="CB8" s="1"/>
  <c r="AM8"/>
  <c r="AN8"/>
  <c r="AO8"/>
  <c r="AP8"/>
  <c r="CW8"/>
  <c r="CY8"/>
  <c r="DA8"/>
  <c r="DB8"/>
  <c r="DD8"/>
  <c r="DF8"/>
  <c r="DH8"/>
  <c r="DJ8"/>
  <c r="DL8"/>
  <c r="R9"/>
  <c r="T9"/>
  <c r="BM9" s="1"/>
  <c r="U9"/>
  <c r="BN9" s="1"/>
  <c r="V9"/>
  <c r="BO9" s="1"/>
  <c r="W9"/>
  <c r="BP9" s="1"/>
  <c r="X9"/>
  <c r="BQ9" s="1"/>
  <c r="Y9"/>
  <c r="BR9" s="1"/>
  <c r="Z9"/>
  <c r="BS9" s="1"/>
  <c r="AA9"/>
  <c r="BT9" s="1"/>
  <c r="AB9"/>
  <c r="AC9"/>
  <c r="BV9" s="1"/>
  <c r="AD9"/>
  <c r="BW9" s="1"/>
  <c r="AE9"/>
  <c r="BX9" s="1"/>
  <c r="AF9"/>
  <c r="BY9" s="1"/>
  <c r="AG9"/>
  <c r="BZ9" s="1"/>
  <c r="AH9"/>
  <c r="CA9" s="1"/>
  <c r="AI9"/>
  <c r="CB9" s="1"/>
  <c r="AM9"/>
  <c r="AN9"/>
  <c r="AO9"/>
  <c r="AP9"/>
  <c r="BU9"/>
  <c r="CW9"/>
  <c r="CX9"/>
  <c r="CY9"/>
  <c r="CZ9"/>
  <c r="DA9"/>
  <c r="DB9"/>
  <c r="DD9"/>
  <c r="DE9"/>
  <c r="DF9"/>
  <c r="DG9"/>
  <c r="DH9"/>
  <c r="DI9"/>
  <c r="DJ9"/>
  <c r="DK9"/>
  <c r="DL9"/>
  <c r="R10"/>
  <c r="T10"/>
  <c r="BM10" s="1"/>
  <c r="U10"/>
  <c r="BN10" s="1"/>
  <c r="V10"/>
  <c r="BO10" s="1"/>
  <c r="W10"/>
  <c r="BP10" s="1"/>
  <c r="X10"/>
  <c r="BQ10" s="1"/>
  <c r="Y10"/>
  <c r="BR10" s="1"/>
  <c r="Z10"/>
  <c r="BS10" s="1"/>
  <c r="AA10"/>
  <c r="BT10" s="1"/>
  <c r="AB10"/>
  <c r="BU10" s="1"/>
  <c r="AC10"/>
  <c r="BV10" s="1"/>
  <c r="AD10"/>
  <c r="BW10" s="1"/>
  <c r="AE10"/>
  <c r="AF10"/>
  <c r="BY10" s="1"/>
  <c r="AG10"/>
  <c r="BZ10" s="1"/>
  <c r="AH10"/>
  <c r="CA10" s="1"/>
  <c r="AI10"/>
  <c r="CB10" s="1"/>
  <c r="AM10"/>
  <c r="AN10"/>
  <c r="AO10"/>
  <c r="AP10"/>
  <c r="BX10"/>
  <c r="CW10"/>
  <c r="CY10"/>
  <c r="DA10"/>
  <c r="DB10"/>
  <c r="DD10"/>
  <c r="DF10"/>
  <c r="DH10"/>
  <c r="DJ10"/>
  <c r="DL10"/>
  <c r="R11"/>
  <c r="T11"/>
  <c r="BM11" s="1"/>
  <c r="U11"/>
  <c r="BN11" s="1"/>
  <c r="V11"/>
  <c r="BO11" s="1"/>
  <c r="W11"/>
  <c r="BP11" s="1"/>
  <c r="X11"/>
  <c r="Y11"/>
  <c r="BR11" s="1"/>
  <c r="Z11"/>
  <c r="BS11" s="1"/>
  <c r="AA11"/>
  <c r="BT11" s="1"/>
  <c r="AB11"/>
  <c r="AC11"/>
  <c r="BV11" s="1"/>
  <c r="AD11"/>
  <c r="BW11" s="1"/>
  <c r="AE11"/>
  <c r="BX11" s="1"/>
  <c r="AF11"/>
  <c r="BY11" s="1"/>
  <c r="AG11"/>
  <c r="BZ11" s="1"/>
  <c r="AH11"/>
  <c r="CA11" s="1"/>
  <c r="AI11"/>
  <c r="CB11" s="1"/>
  <c r="AM11"/>
  <c r="AN11"/>
  <c r="AO11"/>
  <c r="AP11"/>
  <c r="BQ11"/>
  <c r="BU11"/>
  <c r="CW11"/>
  <c r="CY11"/>
  <c r="DA11"/>
  <c r="DB11"/>
  <c r="DD11"/>
  <c r="DF11"/>
  <c r="DH11"/>
  <c r="DJ11"/>
  <c r="DL11"/>
  <c r="R12"/>
  <c r="T12"/>
  <c r="BM12" s="1"/>
  <c r="U12"/>
  <c r="BN12" s="1"/>
  <c r="V12"/>
  <c r="BO12" s="1"/>
  <c r="W12"/>
  <c r="BP12" s="1"/>
  <c r="X12"/>
  <c r="BQ12" s="1"/>
  <c r="Y12"/>
  <c r="BR12" s="1"/>
  <c r="Z12"/>
  <c r="BS12" s="1"/>
  <c r="AA12"/>
  <c r="BT12" s="1"/>
  <c r="AB12"/>
  <c r="BU12" s="1"/>
  <c r="AC12"/>
  <c r="BV12" s="1"/>
  <c r="AD12"/>
  <c r="BW12" s="1"/>
  <c r="AE12"/>
  <c r="BX12" s="1"/>
  <c r="AF12"/>
  <c r="BY12" s="1"/>
  <c r="AG12"/>
  <c r="BZ12" s="1"/>
  <c r="AH12"/>
  <c r="CA12" s="1"/>
  <c r="AI12"/>
  <c r="CB12" s="1"/>
  <c r="AM12"/>
  <c r="AN12"/>
  <c r="AO12"/>
  <c r="AP12"/>
  <c r="CW12"/>
  <c r="CX12"/>
  <c r="CY12"/>
  <c r="CZ12"/>
  <c r="DA12"/>
  <c r="DB12"/>
  <c r="DD12"/>
  <c r="DE12"/>
  <c r="DF12"/>
  <c r="DG12"/>
  <c r="DH12"/>
  <c r="DI12"/>
  <c r="DJ12"/>
  <c r="DK12"/>
  <c r="DL12"/>
  <c r="R13"/>
  <c r="T13"/>
  <c r="U13"/>
  <c r="BN13" s="1"/>
  <c r="V13"/>
  <c r="BO13" s="1"/>
  <c r="W13"/>
  <c r="BP13" s="1"/>
  <c r="X13"/>
  <c r="BQ13" s="1"/>
  <c r="Y13"/>
  <c r="BR13" s="1"/>
  <c r="Z13"/>
  <c r="BS13" s="1"/>
  <c r="AA13"/>
  <c r="BT13" s="1"/>
  <c r="AB13"/>
  <c r="BU13" s="1"/>
  <c r="AC13"/>
  <c r="BV13" s="1"/>
  <c r="AD13"/>
  <c r="BW13" s="1"/>
  <c r="AE13"/>
  <c r="AF13"/>
  <c r="BY13" s="1"/>
  <c r="AG13"/>
  <c r="BZ13" s="1"/>
  <c r="AH13"/>
  <c r="CA13" s="1"/>
  <c r="AI13"/>
  <c r="CB13" s="1"/>
  <c r="AM13"/>
  <c r="AN13"/>
  <c r="AO13"/>
  <c r="AP13"/>
  <c r="BM13"/>
  <c r="BX13"/>
  <c r="CW13"/>
  <c r="CX13"/>
  <c r="CY13"/>
  <c r="CZ13"/>
  <c r="DA13"/>
  <c r="DB13"/>
  <c r="DD13"/>
  <c r="DE13"/>
  <c r="DF13"/>
  <c r="DG13"/>
  <c r="DH13"/>
  <c r="DI13"/>
  <c r="DJ13"/>
  <c r="DK13"/>
  <c r="DL13"/>
  <c r="R14"/>
  <c r="T14"/>
  <c r="BM14" s="1"/>
  <c r="U14"/>
  <c r="BN14" s="1"/>
  <c r="V14"/>
  <c r="BO14" s="1"/>
  <c r="W14"/>
  <c r="BP14" s="1"/>
  <c r="X14"/>
  <c r="BQ14" s="1"/>
  <c r="Y14"/>
  <c r="BR14" s="1"/>
  <c r="Z14"/>
  <c r="BS14" s="1"/>
  <c r="AA14"/>
  <c r="BT14" s="1"/>
  <c r="AB14"/>
  <c r="AC14"/>
  <c r="BV14" s="1"/>
  <c r="AD14"/>
  <c r="BW14" s="1"/>
  <c r="AE14"/>
  <c r="BX14" s="1"/>
  <c r="AF14"/>
  <c r="BY14" s="1"/>
  <c r="AG14"/>
  <c r="BZ14" s="1"/>
  <c r="AH14"/>
  <c r="CA14" s="1"/>
  <c r="AI14"/>
  <c r="CB14" s="1"/>
  <c r="AM14"/>
  <c r="AN14"/>
  <c r="AO14"/>
  <c r="AP14"/>
  <c r="BU14"/>
  <c r="CW14"/>
  <c r="CX14"/>
  <c r="CY14"/>
  <c r="CZ14"/>
  <c r="DA14"/>
  <c r="DB14"/>
  <c r="DD14"/>
  <c r="DE14"/>
  <c r="DF14"/>
  <c r="DG14"/>
  <c r="DH14"/>
  <c r="DI14"/>
  <c r="DJ14"/>
  <c r="DK14"/>
  <c r="DL14"/>
  <c r="R15"/>
  <c r="T15"/>
  <c r="BM15" s="1"/>
  <c r="U15"/>
  <c r="BN15" s="1"/>
  <c r="V15"/>
  <c r="BO15" s="1"/>
  <c r="W15"/>
  <c r="BP15" s="1"/>
  <c r="X15"/>
  <c r="BQ15" s="1"/>
  <c r="Y15"/>
  <c r="BR15" s="1"/>
  <c r="Z15"/>
  <c r="BS15" s="1"/>
  <c r="AA15"/>
  <c r="BT15" s="1"/>
  <c r="AB15"/>
  <c r="BU15" s="1"/>
  <c r="AC15"/>
  <c r="BV15" s="1"/>
  <c r="AD15"/>
  <c r="BW15" s="1"/>
  <c r="AE15"/>
  <c r="BX15" s="1"/>
  <c r="AF15"/>
  <c r="BY15" s="1"/>
  <c r="AG15"/>
  <c r="BZ15" s="1"/>
  <c r="AH15"/>
  <c r="CA15" s="1"/>
  <c r="AI15"/>
  <c r="CB15" s="1"/>
  <c r="AM15"/>
  <c r="AN15"/>
  <c r="AO15"/>
  <c r="AP15"/>
  <c r="CW15"/>
  <c r="CX15"/>
  <c r="CY15"/>
  <c r="CZ15"/>
  <c r="DA15"/>
  <c r="DB15"/>
  <c r="DD15"/>
  <c r="DE15"/>
  <c r="DF15"/>
  <c r="DG15"/>
  <c r="DH15"/>
  <c r="DI15"/>
  <c r="DJ15"/>
  <c r="DK15"/>
  <c r="DL15"/>
  <c r="R16"/>
  <c r="T16"/>
  <c r="I12" i="32" s="1"/>
  <c r="U16" i="17"/>
  <c r="I13" i="32" s="1"/>
  <c r="V16" i="17"/>
  <c r="I14" i="32" s="1"/>
  <c r="W16" i="17"/>
  <c r="BP16" s="1"/>
  <c r="X16"/>
  <c r="BQ16" s="1"/>
  <c r="Y16"/>
  <c r="BR16" s="1"/>
  <c r="Z16"/>
  <c r="BS16" s="1"/>
  <c r="AA16"/>
  <c r="BT16" s="1"/>
  <c r="AB16"/>
  <c r="BU16" s="1"/>
  <c r="AC16"/>
  <c r="BV16" s="1"/>
  <c r="AD16"/>
  <c r="BW16" s="1"/>
  <c r="AE16"/>
  <c r="BX16" s="1"/>
  <c r="AF16"/>
  <c r="BY16" s="1"/>
  <c r="AG16"/>
  <c r="BZ16" s="1"/>
  <c r="AH16"/>
  <c r="CA16" s="1"/>
  <c r="AI16"/>
  <c r="CB16" s="1"/>
  <c r="AM16"/>
  <c r="AN16"/>
  <c r="AO16"/>
  <c r="AP16"/>
  <c r="BM16"/>
  <c r="CW16"/>
  <c r="CX16"/>
  <c r="CY16"/>
  <c r="CZ16"/>
  <c r="DA16"/>
  <c r="DB16"/>
  <c r="DD16"/>
  <c r="DE16"/>
  <c r="DF16"/>
  <c r="DG16"/>
  <c r="DH16"/>
  <c r="DI16"/>
  <c r="DJ16"/>
  <c r="DK16"/>
  <c r="DL16"/>
  <c r="R17"/>
  <c r="T17"/>
  <c r="BM17" s="1"/>
  <c r="U17"/>
  <c r="BN17" s="1"/>
  <c r="V17"/>
  <c r="BO17" s="1"/>
  <c r="W17"/>
  <c r="BP17" s="1"/>
  <c r="X17"/>
  <c r="BQ17" s="1"/>
  <c r="Y17"/>
  <c r="BR17" s="1"/>
  <c r="Z17"/>
  <c r="BS17" s="1"/>
  <c r="AA17"/>
  <c r="BT17" s="1"/>
  <c r="AB17"/>
  <c r="BU17" s="1"/>
  <c r="AC17"/>
  <c r="BV17" s="1"/>
  <c r="AD17"/>
  <c r="BW17" s="1"/>
  <c r="AE17"/>
  <c r="BX17" s="1"/>
  <c r="AF17"/>
  <c r="BY17" s="1"/>
  <c r="AG17"/>
  <c r="BZ17" s="1"/>
  <c r="AH17"/>
  <c r="CA17" s="1"/>
  <c r="AI17"/>
  <c r="CB17" s="1"/>
  <c r="AM17"/>
  <c r="AN17"/>
  <c r="AO17"/>
  <c r="AP17"/>
  <c r="CW17"/>
  <c r="CX17"/>
  <c r="CY17"/>
  <c r="CZ17"/>
  <c r="DA17"/>
  <c r="DB17"/>
  <c r="DD17"/>
  <c r="DE17"/>
  <c r="DF17"/>
  <c r="DG17"/>
  <c r="DH17"/>
  <c r="DI17"/>
  <c r="DJ17"/>
  <c r="DK17"/>
  <c r="DL17"/>
  <c r="R18"/>
  <c r="T18"/>
  <c r="BM18" s="1"/>
  <c r="U18"/>
  <c r="BN18" s="1"/>
  <c r="V18"/>
  <c r="BO18" s="1"/>
  <c r="W18"/>
  <c r="BP18" s="1"/>
  <c r="X18"/>
  <c r="BQ18" s="1"/>
  <c r="Y18"/>
  <c r="BR18" s="1"/>
  <c r="Z18"/>
  <c r="BS18" s="1"/>
  <c r="AA18"/>
  <c r="BT18" s="1"/>
  <c r="AB18"/>
  <c r="BU18" s="1"/>
  <c r="AC18"/>
  <c r="BV18" s="1"/>
  <c r="AD18"/>
  <c r="BW18" s="1"/>
  <c r="AE18"/>
  <c r="BX18" s="1"/>
  <c r="AF18"/>
  <c r="BY18" s="1"/>
  <c r="AG18"/>
  <c r="BZ18" s="1"/>
  <c r="AH18"/>
  <c r="CA18" s="1"/>
  <c r="AI18"/>
  <c r="CB18" s="1"/>
  <c r="AM18"/>
  <c r="AN18"/>
  <c r="AO18"/>
  <c r="AP18"/>
  <c r="CW18"/>
  <c r="CX18"/>
  <c r="CY18"/>
  <c r="CZ18"/>
  <c r="DA18"/>
  <c r="DB18"/>
  <c r="DD18"/>
  <c r="DE18"/>
  <c r="DF18"/>
  <c r="DG18"/>
  <c r="DH18"/>
  <c r="DI18"/>
  <c r="DJ18"/>
  <c r="DK18"/>
  <c r="DL18"/>
  <c r="R19"/>
  <c r="T19"/>
  <c r="BM19" s="1"/>
  <c r="U19"/>
  <c r="V19"/>
  <c r="BO19" s="1"/>
  <c r="W19"/>
  <c r="BP19" s="1"/>
  <c r="X19"/>
  <c r="Y19"/>
  <c r="BR19" s="1"/>
  <c r="Z19"/>
  <c r="BS19" s="1"/>
  <c r="AA19"/>
  <c r="BT19" s="1"/>
  <c r="AB19"/>
  <c r="BU19" s="1"/>
  <c r="AC19"/>
  <c r="BV19" s="1"/>
  <c r="AD19"/>
  <c r="BW19" s="1"/>
  <c r="AE19"/>
  <c r="BX19" s="1"/>
  <c r="AF19"/>
  <c r="BY19" s="1"/>
  <c r="AG19"/>
  <c r="BZ19" s="1"/>
  <c r="AH19"/>
  <c r="CA19" s="1"/>
  <c r="AI19"/>
  <c r="CB19" s="1"/>
  <c r="AM19"/>
  <c r="AN19"/>
  <c r="AO19"/>
  <c r="AP19"/>
  <c r="BQ19"/>
  <c r="CW19"/>
  <c r="CX19"/>
  <c r="CY19"/>
  <c r="CZ19"/>
  <c r="DA19"/>
  <c r="DB19"/>
  <c r="DD19"/>
  <c r="DE19"/>
  <c r="DF19"/>
  <c r="DG19"/>
  <c r="DH19"/>
  <c r="DI19"/>
  <c r="DJ19"/>
  <c r="DK19"/>
  <c r="DL19"/>
  <c r="R20"/>
  <c r="T20"/>
  <c r="BM20" s="1"/>
  <c r="U20"/>
  <c r="BN20" s="1"/>
  <c r="V20"/>
  <c r="BO20" s="1"/>
  <c r="W20"/>
  <c r="BP20" s="1"/>
  <c r="X20"/>
  <c r="BQ20" s="1"/>
  <c r="Y20"/>
  <c r="BR20" s="1"/>
  <c r="Z20"/>
  <c r="BS20" s="1"/>
  <c r="AA20"/>
  <c r="BT20" s="1"/>
  <c r="AB20"/>
  <c r="BU20" s="1"/>
  <c r="AC20"/>
  <c r="BV20" s="1"/>
  <c r="AD20"/>
  <c r="BW20" s="1"/>
  <c r="AE20"/>
  <c r="BX20" s="1"/>
  <c r="AF20"/>
  <c r="BY20" s="1"/>
  <c r="AG20"/>
  <c r="BZ20" s="1"/>
  <c r="AH20"/>
  <c r="CA20" s="1"/>
  <c r="AI20"/>
  <c r="CB20" s="1"/>
  <c r="AM20"/>
  <c r="AN20"/>
  <c r="AO20"/>
  <c r="AP20"/>
  <c r="CW20"/>
  <c r="CX20"/>
  <c r="CY20"/>
  <c r="CZ20"/>
  <c r="DA20"/>
  <c r="DB20"/>
  <c r="DD20"/>
  <c r="DE20"/>
  <c r="DF20"/>
  <c r="DG20"/>
  <c r="DH20"/>
  <c r="DI20"/>
  <c r="DJ20"/>
  <c r="DK20"/>
  <c r="DL20"/>
  <c r="R21"/>
  <c r="T21"/>
  <c r="U21"/>
  <c r="BN21" s="1"/>
  <c r="V21"/>
  <c r="BO21" s="1"/>
  <c r="W21"/>
  <c r="X21"/>
  <c r="BQ21" s="1"/>
  <c r="Y21"/>
  <c r="BR21" s="1"/>
  <c r="Z21"/>
  <c r="BS21" s="1"/>
  <c r="AA21"/>
  <c r="BT21" s="1"/>
  <c r="AB21"/>
  <c r="BU21" s="1"/>
  <c r="AC21"/>
  <c r="BV21" s="1"/>
  <c r="AD21"/>
  <c r="BW21" s="1"/>
  <c r="AE21"/>
  <c r="BX21" s="1"/>
  <c r="AF21"/>
  <c r="BY21" s="1"/>
  <c r="AG21"/>
  <c r="BZ21" s="1"/>
  <c r="AH21"/>
  <c r="CA21" s="1"/>
  <c r="AI21"/>
  <c r="CB21" s="1"/>
  <c r="AM21"/>
  <c r="AN21"/>
  <c r="AO21"/>
  <c r="AP21"/>
  <c r="BM21"/>
  <c r="BP21"/>
  <c r="CW21"/>
  <c r="CX21"/>
  <c r="CY21"/>
  <c r="CZ21"/>
  <c r="DA21"/>
  <c r="DB21"/>
  <c r="DD21"/>
  <c r="DE21"/>
  <c r="DF21"/>
  <c r="DG21"/>
  <c r="DH21"/>
  <c r="DI21"/>
  <c r="DJ21"/>
  <c r="DK21"/>
  <c r="DL21"/>
  <c r="R22"/>
  <c r="T22"/>
  <c r="BM22" s="1"/>
  <c r="U22"/>
  <c r="BN22" s="1"/>
  <c r="V22"/>
  <c r="BO22" s="1"/>
  <c r="X22"/>
  <c r="BQ22" s="1"/>
  <c r="Y22"/>
  <c r="BR22" s="1"/>
  <c r="Z22"/>
  <c r="BS22" s="1"/>
  <c r="AA22"/>
  <c r="BT22" s="1"/>
  <c r="AB22"/>
  <c r="BU22" s="1"/>
  <c r="AC22"/>
  <c r="BV22" s="1"/>
  <c r="AD22"/>
  <c r="BW22" s="1"/>
  <c r="AE22"/>
  <c r="BX22" s="1"/>
  <c r="AF22"/>
  <c r="BY22" s="1"/>
  <c r="AG22"/>
  <c r="BZ22" s="1"/>
  <c r="AH22"/>
  <c r="CA22" s="1"/>
  <c r="AI22"/>
  <c r="CB22" s="1"/>
  <c r="AM22"/>
  <c r="AN22"/>
  <c r="AO22"/>
  <c r="AP22"/>
  <c r="BP22"/>
  <c r="CW22"/>
  <c r="CX22"/>
  <c r="CY22"/>
  <c r="CZ22"/>
  <c r="DA22"/>
  <c r="DB22"/>
  <c r="DD22"/>
  <c r="DE22"/>
  <c r="DF22"/>
  <c r="DG22"/>
  <c r="DH22"/>
  <c r="DI22"/>
  <c r="DJ22"/>
  <c r="DK22"/>
  <c r="DL22"/>
  <c r="R23"/>
  <c r="T23"/>
  <c r="BM23" s="1"/>
  <c r="U23"/>
  <c r="BN23" s="1"/>
  <c r="V23"/>
  <c r="BO23" s="1"/>
  <c r="X23"/>
  <c r="BQ23" s="1"/>
  <c r="Y23"/>
  <c r="BR23" s="1"/>
  <c r="Z23"/>
  <c r="BS23" s="1"/>
  <c r="AA23"/>
  <c r="BT23" s="1"/>
  <c r="AB23"/>
  <c r="BU23" s="1"/>
  <c r="AC23"/>
  <c r="BV23" s="1"/>
  <c r="AD23"/>
  <c r="BW23" s="1"/>
  <c r="AE23"/>
  <c r="BX23" s="1"/>
  <c r="AF23"/>
  <c r="BY23" s="1"/>
  <c r="AG23"/>
  <c r="BZ23" s="1"/>
  <c r="AH23"/>
  <c r="CA23" s="1"/>
  <c r="AI23"/>
  <c r="AM23"/>
  <c r="AN23"/>
  <c r="AO23"/>
  <c r="AP23"/>
  <c r="BP23"/>
  <c r="CB23"/>
  <c r="CW23"/>
  <c r="CX23"/>
  <c r="CY23"/>
  <c r="CZ23"/>
  <c r="DA23"/>
  <c r="DB23"/>
  <c r="DD23"/>
  <c r="DE23"/>
  <c r="DF23"/>
  <c r="DG23"/>
  <c r="DH23"/>
  <c r="DI23"/>
  <c r="DJ23"/>
  <c r="DK23"/>
  <c r="DL23"/>
  <c r="R24"/>
  <c r="T24"/>
  <c r="BM24" s="1"/>
  <c r="U24"/>
  <c r="BN24" s="1"/>
  <c r="V24"/>
  <c r="BO24" s="1"/>
  <c r="W24"/>
  <c r="BP24" s="1"/>
  <c r="X24"/>
  <c r="BQ24" s="1"/>
  <c r="Y24"/>
  <c r="BR24" s="1"/>
  <c r="Z24"/>
  <c r="BS24" s="1"/>
  <c r="AA24"/>
  <c r="BT24" s="1"/>
  <c r="AB24"/>
  <c r="BU24" s="1"/>
  <c r="AC24"/>
  <c r="BV24" s="1"/>
  <c r="AD24"/>
  <c r="BW24" s="1"/>
  <c r="AE24"/>
  <c r="BX24" s="1"/>
  <c r="AF24"/>
  <c r="BY24" s="1"/>
  <c r="AG24"/>
  <c r="BZ24" s="1"/>
  <c r="AH24"/>
  <c r="CA24" s="1"/>
  <c r="AI24"/>
  <c r="CB24" s="1"/>
  <c r="AM24"/>
  <c r="AN24"/>
  <c r="AO24"/>
  <c r="AP24"/>
  <c r="CW24"/>
  <c r="CX24"/>
  <c r="CY24"/>
  <c r="CZ24"/>
  <c r="DA24"/>
  <c r="DB24"/>
  <c r="DD24"/>
  <c r="DE24"/>
  <c r="DF24"/>
  <c r="DG24"/>
  <c r="DH24"/>
  <c r="DI24"/>
  <c r="DJ24"/>
  <c r="DK24"/>
  <c r="DL24"/>
  <c r="R25"/>
  <c r="T25"/>
  <c r="U25"/>
  <c r="BN25" s="1"/>
  <c r="V25"/>
  <c r="BO25" s="1"/>
  <c r="W25"/>
  <c r="BP25" s="1"/>
  <c r="X25"/>
  <c r="BQ25" s="1"/>
  <c r="Y25"/>
  <c r="BR25" s="1"/>
  <c r="Z25"/>
  <c r="BS25" s="1"/>
  <c r="AA25"/>
  <c r="BT25" s="1"/>
  <c r="AB25"/>
  <c r="BU25" s="1"/>
  <c r="AC25"/>
  <c r="BV25" s="1"/>
  <c r="AD25"/>
  <c r="BW25" s="1"/>
  <c r="AE25"/>
  <c r="BX25" s="1"/>
  <c r="AF25"/>
  <c r="BY25" s="1"/>
  <c r="AG25"/>
  <c r="BZ25" s="1"/>
  <c r="AH25"/>
  <c r="CA25" s="1"/>
  <c r="AI25"/>
  <c r="CB25" s="1"/>
  <c r="AM25"/>
  <c r="AN25"/>
  <c r="AO25"/>
  <c r="AP25"/>
  <c r="BM25"/>
  <c r="CX25"/>
  <c r="CY25"/>
  <c r="CZ25"/>
  <c r="DA25"/>
  <c r="DB25"/>
  <c r="DD25"/>
  <c r="DE25"/>
  <c r="DF25"/>
  <c r="DG25"/>
  <c r="DH25"/>
  <c r="DI25"/>
  <c r="DJ25"/>
  <c r="DK25"/>
  <c r="DL25"/>
  <c r="R26"/>
  <c r="T26"/>
  <c r="U26"/>
  <c r="V26"/>
  <c r="W26"/>
  <c r="X26"/>
  <c r="Y26"/>
  <c r="Z26"/>
  <c r="AA26"/>
  <c r="AB26"/>
  <c r="AC26"/>
  <c r="AD26"/>
  <c r="AE26"/>
  <c r="AF26"/>
  <c r="AG26"/>
  <c r="AH26"/>
  <c r="AI26"/>
  <c r="AM26"/>
  <c r="AN26"/>
  <c r="AO26"/>
  <c r="AP26"/>
  <c r="BM26"/>
  <c r="BN26"/>
  <c r="BO26"/>
  <c r="BP26"/>
  <c r="BQ26"/>
  <c r="BR26"/>
  <c r="BS26"/>
  <c r="BT26"/>
  <c r="BU26"/>
  <c r="BV26"/>
  <c r="BW26"/>
  <c r="BX26"/>
  <c r="BY26"/>
  <c r="BZ26"/>
  <c r="CA26"/>
  <c r="CB26"/>
  <c r="CX26"/>
  <c r="CY26"/>
  <c r="CZ26"/>
  <c r="DA26"/>
  <c r="DB26"/>
  <c r="DD26"/>
  <c r="DE26"/>
  <c r="DF26"/>
  <c r="DG26"/>
  <c r="DH26"/>
  <c r="DI26"/>
  <c r="DJ26"/>
  <c r="DK26"/>
  <c r="DL26"/>
  <c r="R27"/>
  <c r="T27"/>
  <c r="BM27" s="1"/>
  <c r="U27"/>
  <c r="BN27" s="1"/>
  <c r="V27"/>
  <c r="W27"/>
  <c r="X27"/>
  <c r="BQ27" s="1"/>
  <c r="Y27"/>
  <c r="BR27" s="1"/>
  <c r="Z27"/>
  <c r="BS27" s="1"/>
  <c r="AA27"/>
  <c r="BT27" s="1"/>
  <c r="AB27"/>
  <c r="BU27" s="1"/>
  <c r="AC27"/>
  <c r="BV27" s="1"/>
  <c r="AD27"/>
  <c r="BW27" s="1"/>
  <c r="AE27"/>
  <c r="BX27" s="1"/>
  <c r="AF27"/>
  <c r="BY27" s="1"/>
  <c r="AG27"/>
  <c r="BZ27" s="1"/>
  <c r="AH27"/>
  <c r="CA27" s="1"/>
  <c r="AI27"/>
  <c r="CB27" s="1"/>
  <c r="AM27"/>
  <c r="AN27"/>
  <c r="AO27"/>
  <c r="AP27"/>
  <c r="BO27"/>
  <c r="CX27"/>
  <c r="CY27"/>
  <c r="CZ27"/>
  <c r="DA27"/>
  <c r="DB27"/>
  <c r="DD27"/>
  <c r="DE27"/>
  <c r="DF27"/>
  <c r="DG27"/>
  <c r="DH27"/>
  <c r="DI27"/>
  <c r="DJ27"/>
  <c r="DK27"/>
  <c r="DL27"/>
  <c r="R28"/>
  <c r="T28"/>
  <c r="U28"/>
  <c r="V28"/>
  <c r="W28"/>
  <c r="X28"/>
  <c r="Y28"/>
  <c r="Z28"/>
  <c r="AA28"/>
  <c r="AB28"/>
  <c r="AC28"/>
  <c r="AD28"/>
  <c r="AE28"/>
  <c r="AF28"/>
  <c r="AG28"/>
  <c r="AH28"/>
  <c r="AI28"/>
  <c r="AM28"/>
  <c r="AN28"/>
  <c r="AO28"/>
  <c r="AP28"/>
  <c r="BM28"/>
  <c r="BN28"/>
  <c r="BO28"/>
  <c r="BP28"/>
  <c r="BQ28"/>
  <c r="BR28"/>
  <c r="BS28"/>
  <c r="BT28"/>
  <c r="BU28"/>
  <c r="BV28"/>
  <c r="BW28"/>
  <c r="BX28"/>
  <c r="BY28"/>
  <c r="BZ28"/>
  <c r="CA28"/>
  <c r="CB28"/>
  <c r="CX28"/>
  <c r="CY28"/>
  <c r="CZ28"/>
  <c r="DA28"/>
  <c r="DB28"/>
  <c r="DD28"/>
  <c r="DE28"/>
  <c r="DF28"/>
  <c r="DG28"/>
  <c r="DH28"/>
  <c r="DI28"/>
  <c r="DJ28"/>
  <c r="DK28"/>
  <c r="DL28"/>
  <c r="R29"/>
  <c r="T29"/>
  <c r="BM29" s="1"/>
  <c r="U29"/>
  <c r="BN29" s="1"/>
  <c r="V29"/>
  <c r="BO29" s="1"/>
  <c r="W29"/>
  <c r="X29"/>
  <c r="BQ29" s="1"/>
  <c r="Y29"/>
  <c r="BR29" s="1"/>
  <c r="Z29"/>
  <c r="BS29" s="1"/>
  <c r="AA29"/>
  <c r="BT29" s="1"/>
  <c r="AB29"/>
  <c r="BU29" s="1"/>
  <c r="AC29"/>
  <c r="BV29" s="1"/>
  <c r="AD29"/>
  <c r="BW29" s="1"/>
  <c r="AE29"/>
  <c r="BX29" s="1"/>
  <c r="AF29"/>
  <c r="BY29" s="1"/>
  <c r="AG29"/>
  <c r="BZ29" s="1"/>
  <c r="AH29"/>
  <c r="AI29"/>
  <c r="CB29" s="1"/>
  <c r="AM29"/>
  <c r="AN29"/>
  <c r="AO29"/>
  <c r="AP29"/>
  <c r="CA29"/>
  <c r="CX29"/>
  <c r="CY29"/>
  <c r="CZ29"/>
  <c r="DA29"/>
  <c r="DB29"/>
  <c r="DD29"/>
  <c r="DE29"/>
  <c r="DF29"/>
  <c r="DG29"/>
  <c r="DH29"/>
  <c r="DI29"/>
  <c r="DJ29"/>
  <c r="DK29"/>
  <c r="DL29"/>
  <c r="R30"/>
  <c r="T30"/>
  <c r="BM30" s="1"/>
  <c r="U30"/>
  <c r="BN30" s="1"/>
  <c r="V30"/>
  <c r="BO30" s="1"/>
  <c r="W30"/>
  <c r="BP30" s="1"/>
  <c r="X30"/>
  <c r="BQ30" s="1"/>
  <c r="Y30"/>
  <c r="BR30" s="1"/>
  <c r="Z30"/>
  <c r="BS30" s="1"/>
  <c r="AA30"/>
  <c r="BT30" s="1"/>
  <c r="AB30"/>
  <c r="BU30" s="1"/>
  <c r="AC30"/>
  <c r="BV30" s="1"/>
  <c r="AD30"/>
  <c r="BW30" s="1"/>
  <c r="AE30"/>
  <c r="BX30" s="1"/>
  <c r="AF30"/>
  <c r="BY30" s="1"/>
  <c r="AG30"/>
  <c r="BZ30" s="1"/>
  <c r="AH30"/>
  <c r="CA30" s="1"/>
  <c r="AI30"/>
  <c r="CB30" s="1"/>
  <c r="AM30"/>
  <c r="AN30"/>
  <c r="AO30"/>
  <c r="AP30"/>
  <c r="CX30"/>
  <c r="CY30"/>
  <c r="CZ30"/>
  <c r="DA30"/>
  <c r="DB30"/>
  <c r="DD30"/>
  <c r="DE30"/>
  <c r="DF30"/>
  <c r="DG30"/>
  <c r="DH30"/>
  <c r="DI30"/>
  <c r="DJ30"/>
  <c r="DK30"/>
  <c r="DL30"/>
  <c r="R31"/>
  <c r="T31"/>
  <c r="BM31" s="1"/>
  <c r="U31"/>
  <c r="BN31" s="1"/>
  <c r="V31"/>
  <c r="BO31" s="1"/>
  <c r="W31"/>
  <c r="BP31" s="1"/>
  <c r="X31"/>
  <c r="BQ31" s="1"/>
  <c r="Y31"/>
  <c r="BR31" s="1"/>
  <c r="Z31"/>
  <c r="BS31" s="1"/>
  <c r="AA31"/>
  <c r="BT31" s="1"/>
  <c r="AB31"/>
  <c r="BU31" s="1"/>
  <c r="AC31"/>
  <c r="BV31" s="1"/>
  <c r="AD31"/>
  <c r="BW31" s="1"/>
  <c r="AE31"/>
  <c r="BX31" s="1"/>
  <c r="AF31"/>
  <c r="BY31" s="1"/>
  <c r="AG31"/>
  <c r="BZ31" s="1"/>
  <c r="AH31"/>
  <c r="CA31" s="1"/>
  <c r="AI31"/>
  <c r="CB31" s="1"/>
  <c r="AM31"/>
  <c r="AN31"/>
  <c r="AO31"/>
  <c r="AP31"/>
  <c r="CX31"/>
  <c r="CY31"/>
  <c r="CZ31"/>
  <c r="DA31"/>
  <c r="DB31"/>
  <c r="DD31"/>
  <c r="DE31"/>
  <c r="DF31"/>
  <c r="DG31"/>
  <c r="DH31"/>
  <c r="DI31"/>
  <c r="DJ31"/>
  <c r="DK31"/>
  <c r="DL31"/>
  <c r="R32"/>
  <c r="T32"/>
  <c r="BM32" s="1"/>
  <c r="U32"/>
  <c r="BN32" s="1"/>
  <c r="V32"/>
  <c r="BO32" s="1"/>
  <c r="W32"/>
  <c r="BP32" s="1"/>
  <c r="X32"/>
  <c r="BQ32" s="1"/>
  <c r="Y32"/>
  <c r="BR32" s="1"/>
  <c r="Z32"/>
  <c r="BS32" s="1"/>
  <c r="AA32"/>
  <c r="BT32" s="1"/>
  <c r="AB32"/>
  <c r="BU32" s="1"/>
  <c r="AC32"/>
  <c r="BV32" s="1"/>
  <c r="AD32"/>
  <c r="BW32" s="1"/>
  <c r="AE32"/>
  <c r="BX32" s="1"/>
  <c r="AF32"/>
  <c r="BY32" s="1"/>
  <c r="AG32"/>
  <c r="AH32"/>
  <c r="CA32" s="1"/>
  <c r="AI32"/>
  <c r="CB32" s="1"/>
  <c r="AM32"/>
  <c r="AN32"/>
  <c r="AO32"/>
  <c r="AP32"/>
  <c r="BZ32"/>
  <c r="CX32"/>
  <c r="CY32"/>
  <c r="CZ32"/>
  <c r="DA32"/>
  <c r="DB32"/>
  <c r="DD32"/>
  <c r="DE32"/>
  <c r="DF32"/>
  <c r="DG32"/>
  <c r="DH32"/>
  <c r="DI32"/>
  <c r="DJ32"/>
  <c r="DK32"/>
  <c r="DL32"/>
  <c r="R33"/>
  <c r="T33"/>
  <c r="BM33" s="1"/>
  <c r="U33"/>
  <c r="BN33" s="1"/>
  <c r="V33"/>
  <c r="BO33" s="1"/>
  <c r="W33"/>
  <c r="BP33" s="1"/>
  <c r="X33"/>
  <c r="BQ33" s="1"/>
  <c r="Y33"/>
  <c r="BR33" s="1"/>
  <c r="Z33"/>
  <c r="BS33" s="1"/>
  <c r="AA33"/>
  <c r="BT33" s="1"/>
  <c r="AB33"/>
  <c r="BU33" s="1"/>
  <c r="AC33"/>
  <c r="BV33" s="1"/>
  <c r="AD33"/>
  <c r="BW33" s="1"/>
  <c r="AE33"/>
  <c r="AF33"/>
  <c r="BY33" s="1"/>
  <c r="AG33"/>
  <c r="BZ33" s="1"/>
  <c r="AH33"/>
  <c r="CA33" s="1"/>
  <c r="AI33"/>
  <c r="CB33" s="1"/>
  <c r="AM33"/>
  <c r="AN33"/>
  <c r="AO33"/>
  <c r="AP33"/>
  <c r="BX33"/>
  <c r="CX33"/>
  <c r="CY33"/>
  <c r="CZ33"/>
  <c r="DA33"/>
  <c r="DB33"/>
  <c r="DD33"/>
  <c r="DE33"/>
  <c r="DF33"/>
  <c r="DG33"/>
  <c r="DH33"/>
  <c r="DI33"/>
  <c r="DJ33"/>
  <c r="DK33"/>
  <c r="DL33"/>
  <c r="R34"/>
  <c r="T34"/>
  <c r="BM34" s="1"/>
  <c r="U34"/>
  <c r="V34"/>
  <c r="BO34" s="1"/>
  <c r="W34"/>
  <c r="BP34" s="1"/>
  <c r="X34"/>
  <c r="BQ34" s="1"/>
  <c r="Y34"/>
  <c r="BR34" s="1"/>
  <c r="Z34"/>
  <c r="BS34" s="1"/>
  <c r="AA34"/>
  <c r="BT34" s="1"/>
  <c r="AB34"/>
  <c r="BU34" s="1"/>
  <c r="AC34"/>
  <c r="BV34" s="1"/>
  <c r="AD34"/>
  <c r="BW34" s="1"/>
  <c r="AE34"/>
  <c r="AF34"/>
  <c r="BY34" s="1"/>
  <c r="AG34"/>
  <c r="BZ34" s="1"/>
  <c r="AH34"/>
  <c r="CA34" s="1"/>
  <c r="AI34"/>
  <c r="CB34" s="1"/>
  <c r="AM34"/>
  <c r="AN34"/>
  <c r="AO34"/>
  <c r="AP34"/>
  <c r="BN34"/>
  <c r="BX34"/>
  <c r="CX34"/>
  <c r="CY34"/>
  <c r="CZ34"/>
  <c r="DA34"/>
  <c r="DB34"/>
  <c r="DD34"/>
  <c r="DE34"/>
  <c r="DF34"/>
  <c r="DG34"/>
  <c r="DH34"/>
  <c r="DI34"/>
  <c r="DJ34"/>
  <c r="DK34"/>
  <c r="DL34"/>
  <c r="R35"/>
  <c r="T35"/>
  <c r="BM35" s="1"/>
  <c r="U35"/>
  <c r="BN35" s="1"/>
  <c r="V35"/>
  <c r="BO35" s="1"/>
  <c r="W35"/>
  <c r="BP35" s="1"/>
  <c r="X35"/>
  <c r="BQ35" s="1"/>
  <c r="Y35"/>
  <c r="BR35" s="1"/>
  <c r="Z35"/>
  <c r="BS35" s="1"/>
  <c r="AA35"/>
  <c r="BT35" s="1"/>
  <c r="AB35"/>
  <c r="BU35" s="1"/>
  <c r="AC35"/>
  <c r="BV35" s="1"/>
  <c r="AD35"/>
  <c r="BW35" s="1"/>
  <c r="AE35"/>
  <c r="BX35" s="1"/>
  <c r="AF35"/>
  <c r="BY35" s="1"/>
  <c r="AG35"/>
  <c r="BZ35" s="1"/>
  <c r="AH35"/>
  <c r="CA35" s="1"/>
  <c r="AI35"/>
  <c r="CB35" s="1"/>
  <c r="AM35"/>
  <c r="AN35"/>
  <c r="AO35"/>
  <c r="AP35"/>
  <c r="CX35"/>
  <c r="CY35"/>
  <c r="CZ35"/>
  <c r="DA35"/>
  <c r="DB35"/>
  <c r="DD35"/>
  <c r="DE35"/>
  <c r="DF35"/>
  <c r="DG35"/>
  <c r="DH35"/>
  <c r="DI35"/>
  <c r="DJ35"/>
  <c r="DK35"/>
  <c r="DL35"/>
  <c r="R36"/>
  <c r="U29" i="33" s="1"/>
  <c r="T36" i="17"/>
  <c r="BM36" s="1"/>
  <c r="U36"/>
  <c r="BN36" s="1"/>
  <c r="V36"/>
  <c r="BO36" s="1"/>
  <c r="W36"/>
  <c r="BP36" s="1"/>
  <c r="X36"/>
  <c r="BQ36" s="1"/>
  <c r="Y36"/>
  <c r="Z36"/>
  <c r="BS36" s="1"/>
  <c r="AA36"/>
  <c r="BT36" s="1"/>
  <c r="AB36"/>
  <c r="BU36" s="1"/>
  <c r="AC36"/>
  <c r="BV36" s="1"/>
  <c r="AD36"/>
  <c r="BW36" s="1"/>
  <c r="AE36"/>
  <c r="BX36" s="1"/>
  <c r="AF36"/>
  <c r="BY36" s="1"/>
  <c r="AG36"/>
  <c r="AH36"/>
  <c r="CA36" s="1"/>
  <c r="AI36"/>
  <c r="CB36" s="1"/>
  <c r="AM36"/>
  <c r="AN36"/>
  <c r="AO36"/>
  <c r="AP36"/>
  <c r="BR36"/>
  <c r="BZ36"/>
  <c r="CX36"/>
  <c r="CY36"/>
  <c r="CZ36"/>
  <c r="DA36"/>
  <c r="DB36"/>
  <c r="DD36"/>
  <c r="DE36"/>
  <c r="DF36"/>
  <c r="DG36"/>
  <c r="DH36"/>
  <c r="DI36"/>
  <c r="DJ36"/>
  <c r="DK36"/>
  <c r="DL36"/>
  <c r="R37"/>
  <c r="U30" i="33" s="1"/>
  <c r="T37" i="17"/>
  <c r="U37"/>
  <c r="BN37" s="1"/>
  <c r="V37"/>
  <c r="BO37" s="1"/>
  <c r="W37"/>
  <c r="BP37" s="1"/>
  <c r="X37"/>
  <c r="BQ37" s="1"/>
  <c r="Y37"/>
  <c r="BR37" s="1"/>
  <c r="Z37"/>
  <c r="BS37" s="1"/>
  <c r="AA37"/>
  <c r="BT37" s="1"/>
  <c r="AB37"/>
  <c r="BU37" s="1"/>
  <c r="AC37"/>
  <c r="BV37" s="1"/>
  <c r="AD37"/>
  <c r="BW37" s="1"/>
  <c r="AE37"/>
  <c r="BX37" s="1"/>
  <c r="AF37"/>
  <c r="BY37" s="1"/>
  <c r="AG37"/>
  <c r="BZ37" s="1"/>
  <c r="AH37"/>
  <c r="AI37"/>
  <c r="CB37" s="1"/>
  <c r="AM37"/>
  <c r="AN37"/>
  <c r="AO37"/>
  <c r="AP37"/>
  <c r="BM37"/>
  <c r="CA37"/>
  <c r="CX37"/>
  <c r="CY37"/>
  <c r="CZ37"/>
  <c r="DD37"/>
  <c r="DE37"/>
  <c r="DF37"/>
  <c r="DG37"/>
  <c r="DH37"/>
  <c r="DI37"/>
  <c r="DJ37"/>
  <c r="DK37"/>
  <c r="DL37"/>
  <c r="R38"/>
  <c r="T38"/>
  <c r="U38"/>
  <c r="V38"/>
  <c r="W38"/>
  <c r="X38"/>
  <c r="Y38"/>
  <c r="Z38"/>
  <c r="AA38"/>
  <c r="AB38"/>
  <c r="AC38"/>
  <c r="AD38"/>
  <c r="AE38"/>
  <c r="AF38"/>
  <c r="AG38"/>
  <c r="AH38"/>
  <c r="AI38"/>
  <c r="AM38"/>
  <c r="AN38"/>
  <c r="AO38"/>
  <c r="AP38"/>
  <c r="BM38"/>
  <c r="BN38"/>
  <c r="BO38"/>
  <c r="BP38"/>
  <c r="BQ38"/>
  <c r="BR38"/>
  <c r="BS38"/>
  <c r="BT38"/>
  <c r="BU38"/>
  <c r="BV38"/>
  <c r="BW38"/>
  <c r="BX38"/>
  <c r="BY38"/>
  <c r="BZ38"/>
  <c r="CA38"/>
  <c r="CB38"/>
  <c r="CX38"/>
  <c r="CY38"/>
  <c r="CZ38"/>
  <c r="DA38"/>
  <c r="DB38"/>
  <c r="DD38"/>
  <c r="DE38"/>
  <c r="DF38"/>
  <c r="DG38"/>
  <c r="DH38"/>
  <c r="DI38"/>
  <c r="DJ38"/>
  <c r="DK38"/>
  <c r="DL38"/>
  <c r="R39"/>
  <c r="T39"/>
  <c r="U39"/>
  <c r="V39"/>
  <c r="W39"/>
  <c r="X39"/>
  <c r="Y39"/>
  <c r="Z39"/>
  <c r="AA39"/>
  <c r="AB39"/>
  <c r="AC39"/>
  <c r="AD39"/>
  <c r="AE39"/>
  <c r="AF39"/>
  <c r="AG39"/>
  <c r="AH39"/>
  <c r="AI39"/>
  <c r="AM39"/>
  <c r="AN39"/>
  <c r="AO39"/>
  <c r="AP39"/>
  <c r="BM39"/>
  <c r="BN39"/>
  <c r="BO39"/>
  <c r="BP39"/>
  <c r="BQ39"/>
  <c r="BR39"/>
  <c r="BS39"/>
  <c r="BT39"/>
  <c r="BU39"/>
  <c r="BV39"/>
  <c r="BW39"/>
  <c r="BX39"/>
  <c r="BY39"/>
  <c r="BZ39"/>
  <c r="CA39"/>
  <c r="CB39"/>
  <c r="CX39"/>
  <c r="CY39"/>
  <c r="CZ39"/>
  <c r="DA39"/>
  <c r="DB39"/>
  <c r="DD39"/>
  <c r="DE39"/>
  <c r="DF39"/>
  <c r="DG39"/>
  <c r="DH39"/>
  <c r="DI39"/>
  <c r="DJ39"/>
  <c r="DK39"/>
  <c r="DL39"/>
  <c r="R40"/>
  <c r="T40"/>
  <c r="U40"/>
  <c r="V40"/>
  <c r="W40"/>
  <c r="X40"/>
  <c r="Y40"/>
  <c r="Z40"/>
  <c r="AA40"/>
  <c r="AB40"/>
  <c r="AC40"/>
  <c r="AD40"/>
  <c r="AE40"/>
  <c r="AF40"/>
  <c r="AG40"/>
  <c r="AH40"/>
  <c r="AI40"/>
  <c r="AM40"/>
  <c r="AN40"/>
  <c r="AO40"/>
  <c r="AP40"/>
  <c r="BM40"/>
  <c r="BN40"/>
  <c r="BO40"/>
  <c r="BP40"/>
  <c r="BQ40"/>
  <c r="BR40"/>
  <c r="BS40"/>
  <c r="BT40"/>
  <c r="BU40"/>
  <c r="BV40"/>
  <c r="BW40"/>
  <c r="BX40"/>
  <c r="BY40"/>
  <c r="BZ40"/>
  <c r="CA40"/>
  <c r="CB40"/>
  <c r="CX40"/>
  <c r="CY40"/>
  <c r="DD40"/>
  <c r="DE40"/>
  <c r="DF40"/>
  <c r="DG40"/>
  <c r="DH40"/>
  <c r="DI40"/>
  <c r="DJ40"/>
  <c r="DK40"/>
  <c r="DL40"/>
  <c r="R41"/>
  <c r="T41"/>
  <c r="BM41" s="1"/>
  <c r="U41"/>
  <c r="V41"/>
  <c r="BO41" s="1"/>
  <c r="W41"/>
  <c r="BP41" s="1"/>
  <c r="X41"/>
  <c r="BQ41" s="1"/>
  <c r="Y41"/>
  <c r="BR41" s="1"/>
  <c r="Z41"/>
  <c r="BS41" s="1"/>
  <c r="AA41"/>
  <c r="BT41" s="1"/>
  <c r="AB41"/>
  <c r="BU41" s="1"/>
  <c r="AC41"/>
  <c r="BV41" s="1"/>
  <c r="AD41"/>
  <c r="BW41" s="1"/>
  <c r="AE41"/>
  <c r="BX41" s="1"/>
  <c r="AF41"/>
  <c r="BY41" s="1"/>
  <c r="AG41"/>
  <c r="BZ41" s="1"/>
  <c r="AH41"/>
  <c r="CA41" s="1"/>
  <c r="AI41"/>
  <c r="CB41" s="1"/>
  <c r="AM41"/>
  <c r="AN41"/>
  <c r="AO41"/>
  <c r="AP41"/>
  <c r="CX41"/>
  <c r="CY41"/>
  <c r="CZ41"/>
  <c r="DA41"/>
  <c r="DB41"/>
  <c r="DD41"/>
  <c r="DE41"/>
  <c r="DF41"/>
  <c r="DG41"/>
  <c r="DH41"/>
  <c r="DI41"/>
  <c r="DJ41"/>
  <c r="DK41"/>
  <c r="DL41"/>
  <c r="R42"/>
  <c r="T42"/>
  <c r="U42"/>
  <c r="BN42" s="1"/>
  <c r="V42"/>
  <c r="BO42" s="1"/>
  <c r="W42"/>
  <c r="BP42" s="1"/>
  <c r="X42"/>
  <c r="BQ42" s="1"/>
  <c r="Y42"/>
  <c r="BR42" s="1"/>
  <c r="Z42"/>
  <c r="BS42" s="1"/>
  <c r="AA42"/>
  <c r="BT42" s="1"/>
  <c r="AB42"/>
  <c r="BU42" s="1"/>
  <c r="AC42"/>
  <c r="BV42" s="1"/>
  <c r="AD42"/>
  <c r="BW42" s="1"/>
  <c r="AE42"/>
  <c r="BX42" s="1"/>
  <c r="AF42"/>
  <c r="BY42" s="1"/>
  <c r="AG42"/>
  <c r="BZ42" s="1"/>
  <c r="AH42"/>
  <c r="CA42" s="1"/>
  <c r="AI42"/>
  <c r="CB42" s="1"/>
  <c r="AM42"/>
  <c r="AN42"/>
  <c r="AO42"/>
  <c r="AP42"/>
  <c r="BM42"/>
  <c r="CX42"/>
  <c r="CY42"/>
  <c r="CZ42"/>
  <c r="DA42"/>
  <c r="DB42"/>
  <c r="DD42"/>
  <c r="DE42"/>
  <c r="DF42"/>
  <c r="DG42"/>
  <c r="DH42"/>
  <c r="DI42"/>
  <c r="DJ42"/>
  <c r="DK42"/>
  <c r="DL42"/>
  <c r="R43"/>
  <c r="T43"/>
  <c r="BM43" s="1"/>
  <c r="U43"/>
  <c r="V43"/>
  <c r="BO43" s="1"/>
  <c r="W43"/>
  <c r="BP43" s="1"/>
  <c r="X43"/>
  <c r="BQ43" s="1"/>
  <c r="Y43"/>
  <c r="BR43" s="1"/>
  <c r="Z43"/>
  <c r="BS43" s="1"/>
  <c r="AA43"/>
  <c r="BT43" s="1"/>
  <c r="AB43"/>
  <c r="BU43" s="1"/>
  <c r="AC43"/>
  <c r="BV43" s="1"/>
  <c r="AD43"/>
  <c r="AE43"/>
  <c r="BX43" s="1"/>
  <c r="AF43"/>
  <c r="BY43" s="1"/>
  <c r="AG43"/>
  <c r="BZ43" s="1"/>
  <c r="AH43"/>
  <c r="CA43" s="1"/>
  <c r="AI43"/>
  <c r="CB43" s="1"/>
  <c r="AM43"/>
  <c r="AN43"/>
  <c r="AO43"/>
  <c r="AP43"/>
  <c r="BW43"/>
  <c r="CX43"/>
  <c r="CY43"/>
  <c r="DD43"/>
  <c r="DE43"/>
  <c r="DF43"/>
  <c r="DG43"/>
  <c r="DH43"/>
  <c r="DI43"/>
  <c r="DJ43"/>
  <c r="DK43"/>
  <c r="DL43"/>
  <c r="R44"/>
  <c r="T44"/>
  <c r="U44"/>
  <c r="BN44" s="1"/>
  <c r="V44"/>
  <c r="BO44" s="1"/>
  <c r="W44"/>
  <c r="BP44" s="1"/>
  <c r="X44"/>
  <c r="BQ44" s="1"/>
  <c r="Y44"/>
  <c r="BR44" s="1"/>
  <c r="Z44"/>
  <c r="BS44" s="1"/>
  <c r="AA44"/>
  <c r="BT44" s="1"/>
  <c r="AB44"/>
  <c r="BU44" s="1"/>
  <c r="AC44"/>
  <c r="BV44" s="1"/>
  <c r="AD44"/>
  <c r="BW44" s="1"/>
  <c r="AE44"/>
  <c r="BX44" s="1"/>
  <c r="AF44"/>
  <c r="BY44" s="1"/>
  <c r="AG44"/>
  <c r="BZ44" s="1"/>
  <c r="AH44"/>
  <c r="CA44" s="1"/>
  <c r="AI44"/>
  <c r="CB44" s="1"/>
  <c r="AM44"/>
  <c r="AN44"/>
  <c r="AO44"/>
  <c r="AP44"/>
  <c r="BM44"/>
  <c r="CX44"/>
  <c r="CY44"/>
  <c r="CZ44"/>
  <c r="DA44"/>
  <c r="DB44"/>
  <c r="DD44"/>
  <c r="DE44"/>
  <c r="DF44"/>
  <c r="DG44"/>
  <c r="DH44"/>
  <c r="DI44"/>
  <c r="DJ44"/>
  <c r="DK44"/>
  <c r="DL44"/>
  <c r="R45"/>
  <c r="T45"/>
  <c r="U45"/>
  <c r="V45"/>
  <c r="W45"/>
  <c r="X45"/>
  <c r="Y45"/>
  <c r="Z45"/>
  <c r="AA45"/>
  <c r="AB45"/>
  <c r="AC45"/>
  <c r="AD45"/>
  <c r="AE45"/>
  <c r="AF45"/>
  <c r="AG45"/>
  <c r="AH45"/>
  <c r="AI45"/>
  <c r="AM45"/>
  <c r="AN45"/>
  <c r="AO45"/>
  <c r="AP45"/>
  <c r="BM45"/>
  <c r="BN45"/>
  <c r="BO45"/>
  <c r="BP45"/>
  <c r="BQ45"/>
  <c r="BR45"/>
  <c r="BS45"/>
  <c r="BT45"/>
  <c r="BU45"/>
  <c r="BV45"/>
  <c r="BW45"/>
  <c r="BX45"/>
  <c r="BY45"/>
  <c r="BZ45"/>
  <c r="CA45"/>
  <c r="CB45"/>
  <c r="CX45"/>
  <c r="CY45"/>
  <c r="CZ45"/>
  <c r="DA45"/>
  <c r="DB45"/>
  <c r="DD45"/>
  <c r="DE45"/>
  <c r="DF45"/>
  <c r="DG45"/>
  <c r="DH45"/>
  <c r="DI45"/>
  <c r="DJ45"/>
  <c r="DK45"/>
  <c r="DL45"/>
  <c r="R46"/>
  <c r="T46"/>
  <c r="BM46" s="1"/>
  <c r="U46"/>
  <c r="BN46" s="1"/>
  <c r="V46"/>
  <c r="BO46" s="1"/>
  <c r="W46"/>
  <c r="BP46" s="1"/>
  <c r="X46"/>
  <c r="BQ46" s="1"/>
  <c r="Y46"/>
  <c r="BR46" s="1"/>
  <c r="Z46"/>
  <c r="BS46" s="1"/>
  <c r="AA46"/>
  <c r="BT46" s="1"/>
  <c r="AB46"/>
  <c r="BU46" s="1"/>
  <c r="AC46"/>
  <c r="BV46" s="1"/>
  <c r="AD46"/>
  <c r="BW46" s="1"/>
  <c r="AE46"/>
  <c r="BX46" s="1"/>
  <c r="AF46"/>
  <c r="BY46" s="1"/>
  <c r="AG46"/>
  <c r="BZ46" s="1"/>
  <c r="AH46"/>
  <c r="CA46" s="1"/>
  <c r="AI46"/>
  <c r="CB46" s="1"/>
  <c r="AM46"/>
  <c r="AN46"/>
  <c r="AO46"/>
  <c r="AP46"/>
  <c r="CX46"/>
  <c r="CY46"/>
  <c r="DD46"/>
  <c r="DE46"/>
  <c r="DF46"/>
  <c r="DG46"/>
  <c r="DH46"/>
  <c r="DI46"/>
  <c r="DJ46"/>
  <c r="DK46"/>
  <c r="DL46"/>
  <c r="R47"/>
  <c r="T47"/>
  <c r="U47"/>
  <c r="V47"/>
  <c r="W47"/>
  <c r="X47"/>
  <c r="Y47"/>
  <c r="Z47"/>
  <c r="AA47"/>
  <c r="AB47"/>
  <c r="AC47"/>
  <c r="AD47"/>
  <c r="AE47"/>
  <c r="AF47"/>
  <c r="AG47"/>
  <c r="AH47"/>
  <c r="AI47"/>
  <c r="AM47"/>
  <c r="AN47"/>
  <c r="AO47"/>
  <c r="AP47"/>
  <c r="BM47"/>
  <c r="BN47"/>
  <c r="BO47"/>
  <c r="BP47"/>
  <c r="BQ47"/>
  <c r="BR47"/>
  <c r="BS47"/>
  <c r="BT47"/>
  <c r="BU47"/>
  <c r="BV47"/>
  <c r="BW47"/>
  <c r="BX47"/>
  <c r="BY47"/>
  <c r="BZ47"/>
  <c r="CA47"/>
  <c r="CB47"/>
  <c r="CX47"/>
  <c r="CY47"/>
  <c r="CZ47"/>
  <c r="DA47"/>
  <c r="DB47"/>
  <c r="DD47"/>
  <c r="DE47"/>
  <c r="DF47"/>
  <c r="DG47"/>
  <c r="DH47"/>
  <c r="DI47"/>
  <c r="DJ47"/>
  <c r="DK47"/>
  <c r="DL47"/>
  <c r="R48"/>
  <c r="T48"/>
  <c r="U48"/>
  <c r="BN48" s="1"/>
  <c r="V48"/>
  <c r="BO48" s="1"/>
  <c r="W48"/>
  <c r="BP48" s="1"/>
  <c r="X48"/>
  <c r="BQ48" s="1"/>
  <c r="Y48"/>
  <c r="BR48" s="1"/>
  <c r="Z48"/>
  <c r="BS48" s="1"/>
  <c r="AA48"/>
  <c r="BT48" s="1"/>
  <c r="AB48"/>
  <c r="BU48" s="1"/>
  <c r="AC48"/>
  <c r="BV48" s="1"/>
  <c r="AD48"/>
  <c r="BW48" s="1"/>
  <c r="AE48"/>
  <c r="BX48" s="1"/>
  <c r="AF48"/>
  <c r="BY48" s="1"/>
  <c r="AG48"/>
  <c r="BZ48" s="1"/>
  <c r="AH48"/>
  <c r="CA48" s="1"/>
  <c r="AI48"/>
  <c r="CB48" s="1"/>
  <c r="AM48"/>
  <c r="AN48"/>
  <c r="AO48"/>
  <c r="AP48"/>
  <c r="BM48"/>
  <c r="CX48"/>
  <c r="CY48"/>
  <c r="CZ48"/>
  <c r="DA48"/>
  <c r="DB48"/>
  <c r="DD48"/>
  <c r="DE48"/>
  <c r="DF48"/>
  <c r="DG48"/>
  <c r="DH48"/>
  <c r="DI48"/>
  <c r="DJ48"/>
  <c r="DK48"/>
  <c r="DL48"/>
  <c r="R49"/>
  <c r="T49"/>
  <c r="U49"/>
  <c r="BN49" s="1"/>
  <c r="V49"/>
  <c r="BO49" s="1"/>
  <c r="W49"/>
  <c r="BP49" s="1"/>
  <c r="X49"/>
  <c r="BQ49" s="1"/>
  <c r="Y49"/>
  <c r="BR49" s="1"/>
  <c r="Z49"/>
  <c r="BS49" s="1"/>
  <c r="AA49"/>
  <c r="BT49" s="1"/>
  <c r="AB49"/>
  <c r="BU49" s="1"/>
  <c r="AC49"/>
  <c r="BV49" s="1"/>
  <c r="AD49"/>
  <c r="BW49" s="1"/>
  <c r="AE49"/>
  <c r="BX49" s="1"/>
  <c r="AF49"/>
  <c r="BY49" s="1"/>
  <c r="AG49"/>
  <c r="BZ49" s="1"/>
  <c r="AH49"/>
  <c r="CA49" s="1"/>
  <c r="AI49"/>
  <c r="CB49" s="1"/>
  <c r="AM49"/>
  <c r="AN49"/>
  <c r="AO49"/>
  <c r="AP49"/>
  <c r="CX49"/>
  <c r="CY49"/>
  <c r="DD49"/>
  <c r="DE49"/>
  <c r="DF49"/>
  <c r="DG49"/>
  <c r="DH49"/>
  <c r="DI49"/>
  <c r="DJ49"/>
  <c r="DK49"/>
  <c r="DL49"/>
  <c r="R50"/>
  <c r="T50"/>
  <c r="U50"/>
  <c r="V50"/>
  <c r="W50"/>
  <c r="X50"/>
  <c r="Y50"/>
  <c r="Z50"/>
  <c r="AA50"/>
  <c r="AB50"/>
  <c r="AC50"/>
  <c r="AD50"/>
  <c r="AE50"/>
  <c r="AF50"/>
  <c r="AG50"/>
  <c r="AH50"/>
  <c r="AI50"/>
  <c r="AM50"/>
  <c r="AN50"/>
  <c r="AO50"/>
  <c r="AP50"/>
  <c r="BM50"/>
  <c r="BN50"/>
  <c r="BO50"/>
  <c r="BP50"/>
  <c r="BQ50"/>
  <c r="BR50"/>
  <c r="BS50"/>
  <c r="BT50"/>
  <c r="BU50"/>
  <c r="BV50"/>
  <c r="BW50"/>
  <c r="BX50"/>
  <c r="BY50"/>
  <c r="BZ50"/>
  <c r="CA50"/>
  <c r="CB50"/>
  <c r="CX50"/>
  <c r="CY50"/>
  <c r="CZ50"/>
  <c r="DA50"/>
  <c r="DB50"/>
  <c r="DD50"/>
  <c r="DE50"/>
  <c r="DF50"/>
  <c r="DG50"/>
  <c r="DH50"/>
  <c r="DI50"/>
  <c r="DJ50"/>
  <c r="DK50"/>
  <c r="DL50"/>
  <c r="R51"/>
  <c r="T51"/>
  <c r="BM51" s="1"/>
  <c r="U51"/>
  <c r="BN51" s="1"/>
  <c r="V51"/>
  <c r="W51"/>
  <c r="BP51" s="1"/>
  <c r="X51"/>
  <c r="BQ51" s="1"/>
  <c r="Y51"/>
  <c r="BR51" s="1"/>
  <c r="Z51"/>
  <c r="BS51" s="1"/>
  <c r="AA51"/>
  <c r="BT51" s="1"/>
  <c r="AB51"/>
  <c r="BU51" s="1"/>
  <c r="AC51"/>
  <c r="BV51" s="1"/>
  <c r="AD51"/>
  <c r="BW51" s="1"/>
  <c r="AE51"/>
  <c r="BX51" s="1"/>
  <c r="AF51"/>
  <c r="BY51" s="1"/>
  <c r="AG51"/>
  <c r="BZ51" s="1"/>
  <c r="AH51"/>
  <c r="CA51" s="1"/>
  <c r="AI51"/>
  <c r="CB51" s="1"/>
  <c r="AM51"/>
  <c r="AN51"/>
  <c r="AO51"/>
  <c r="AP51"/>
  <c r="BO51"/>
  <c r="CX51"/>
  <c r="CY51"/>
  <c r="CZ51"/>
  <c r="DA51"/>
  <c r="DB51"/>
  <c r="DD51"/>
  <c r="DE51"/>
  <c r="DF51"/>
  <c r="DG51"/>
  <c r="DH51"/>
  <c r="DI51"/>
  <c r="DJ51"/>
  <c r="DK51"/>
  <c r="DL51"/>
  <c r="R52"/>
  <c r="T52"/>
  <c r="U52"/>
  <c r="V52"/>
  <c r="BO52"/>
  <c r="W52"/>
  <c r="BP52"/>
  <c r="X52"/>
  <c r="BQ52"/>
  <c r="Y52"/>
  <c r="BR52"/>
  <c r="Z52"/>
  <c r="BS52"/>
  <c r="AA52"/>
  <c r="BT52"/>
  <c r="AB52"/>
  <c r="AC52"/>
  <c r="BV52" s="1"/>
  <c r="AD52"/>
  <c r="BW52" s="1"/>
  <c r="AE52"/>
  <c r="BX52" s="1"/>
  <c r="AF52"/>
  <c r="BY52" s="1"/>
  <c r="AG52"/>
  <c r="BZ52" s="1"/>
  <c r="AH52"/>
  <c r="CA52" s="1"/>
  <c r="AI52"/>
  <c r="CB52" s="1"/>
  <c r="AM52"/>
  <c r="AN52"/>
  <c r="AO52"/>
  <c r="AP52"/>
  <c r="BM52"/>
  <c r="BU52"/>
  <c r="CX52"/>
  <c r="CY52"/>
  <c r="CZ52"/>
  <c r="DD52"/>
  <c r="DE52"/>
  <c r="DF52"/>
  <c r="DG52"/>
  <c r="DH52"/>
  <c r="DI52"/>
  <c r="DJ52"/>
  <c r="DK52"/>
  <c r="DL52"/>
  <c r="R53"/>
  <c r="T53"/>
  <c r="BM53" s="1"/>
  <c r="U53"/>
  <c r="V53"/>
  <c r="BO53" s="1"/>
  <c r="W53"/>
  <c r="BP53" s="1"/>
  <c r="X53"/>
  <c r="BQ53" s="1"/>
  <c r="Y53"/>
  <c r="BR53"/>
  <c r="Z53"/>
  <c r="AA53"/>
  <c r="BT53" s="1"/>
  <c r="AB53"/>
  <c r="AC53"/>
  <c r="BV53" s="1"/>
  <c r="AD53"/>
  <c r="BW53" s="1"/>
  <c r="AE53"/>
  <c r="BX53" s="1"/>
  <c r="AF53"/>
  <c r="BY53" s="1"/>
  <c r="AG53"/>
  <c r="BZ53" s="1"/>
  <c r="AH53"/>
  <c r="CA53" s="1"/>
  <c r="AI53"/>
  <c r="CB53" s="1"/>
  <c r="AM53"/>
  <c r="AN53"/>
  <c r="AO53"/>
  <c r="AP53"/>
  <c r="BS53"/>
  <c r="BU53"/>
  <c r="CX53"/>
  <c r="CY53"/>
  <c r="CZ53"/>
  <c r="DA53"/>
  <c r="DB53"/>
  <c r="DD53"/>
  <c r="DE53"/>
  <c r="DF53"/>
  <c r="DG53"/>
  <c r="DH53"/>
  <c r="DI53"/>
  <c r="DJ53"/>
  <c r="DK53"/>
  <c r="DL53"/>
  <c r="R54"/>
  <c r="T54"/>
  <c r="BM54" s="1"/>
  <c r="U54"/>
  <c r="V54"/>
  <c r="BO54" s="1"/>
  <c r="W54"/>
  <c r="BP54" s="1"/>
  <c r="X54"/>
  <c r="BQ54" s="1"/>
  <c r="Y54"/>
  <c r="BR54" s="1"/>
  <c r="Z54"/>
  <c r="BS54" s="1"/>
  <c r="AA54"/>
  <c r="BT54" s="1"/>
  <c r="AB54"/>
  <c r="BU54" s="1"/>
  <c r="AC54"/>
  <c r="BV54" s="1"/>
  <c r="AD54"/>
  <c r="BW54" s="1"/>
  <c r="AE54"/>
  <c r="BX54" s="1"/>
  <c r="AF54"/>
  <c r="BY54" s="1"/>
  <c r="AG54"/>
  <c r="BZ54" s="1"/>
  <c r="AH54"/>
  <c r="CA54" s="1"/>
  <c r="AI54"/>
  <c r="CB54" s="1"/>
  <c r="AM54"/>
  <c r="AN54"/>
  <c r="AO54"/>
  <c r="AP54"/>
  <c r="BN54"/>
  <c r="CX54"/>
  <c r="CY54"/>
  <c r="CZ54"/>
  <c r="DA54"/>
  <c r="DB54"/>
  <c r="DD54"/>
  <c r="DE54"/>
  <c r="DF54"/>
  <c r="DG54"/>
  <c r="DH54"/>
  <c r="DI54"/>
  <c r="DJ54"/>
  <c r="DK54"/>
  <c r="DL54"/>
  <c r="R55"/>
  <c r="T55"/>
  <c r="U55"/>
  <c r="V55"/>
  <c r="W55"/>
  <c r="X55"/>
  <c r="Y55"/>
  <c r="Z55"/>
  <c r="AA55"/>
  <c r="AB55"/>
  <c r="AC55"/>
  <c r="AD55"/>
  <c r="AE55"/>
  <c r="AF55"/>
  <c r="AG55"/>
  <c r="AH55"/>
  <c r="AI55"/>
  <c r="AM55"/>
  <c r="AN55"/>
  <c r="AO55"/>
  <c r="AP55"/>
  <c r="BM55"/>
  <c r="BN55"/>
  <c r="BO55"/>
  <c r="BP55"/>
  <c r="BQ55"/>
  <c r="BR55"/>
  <c r="BS55"/>
  <c r="BT55"/>
  <c r="BU55"/>
  <c r="BV55"/>
  <c r="BW55"/>
  <c r="BX55"/>
  <c r="BY55"/>
  <c r="BZ55"/>
  <c r="CA55"/>
  <c r="CB55"/>
  <c r="CX55"/>
  <c r="CY55"/>
  <c r="CZ55"/>
  <c r="DA55"/>
  <c r="DD55"/>
  <c r="DE55"/>
  <c r="DF55"/>
  <c r="DG55"/>
  <c r="DH55"/>
  <c r="DI55"/>
  <c r="DJ55"/>
  <c r="DK55"/>
  <c r="DL55"/>
  <c r="R56"/>
  <c r="T56"/>
  <c r="U56"/>
  <c r="V56"/>
  <c r="W56"/>
  <c r="X56"/>
  <c r="Y56"/>
  <c r="Z56"/>
  <c r="AA56"/>
  <c r="AB56"/>
  <c r="AC56"/>
  <c r="AD56"/>
  <c r="AE56"/>
  <c r="AF56"/>
  <c r="AG56"/>
  <c r="AH56"/>
  <c r="AI56"/>
  <c r="AM56"/>
  <c r="AN56"/>
  <c r="AO56"/>
  <c r="AP56"/>
  <c r="BM56"/>
  <c r="BN56"/>
  <c r="BO56"/>
  <c r="BP56"/>
  <c r="BQ56"/>
  <c r="BR56"/>
  <c r="BS56"/>
  <c r="BT56"/>
  <c r="BU56"/>
  <c r="BV56"/>
  <c r="BW56"/>
  <c r="BX56"/>
  <c r="BY56"/>
  <c r="BZ56"/>
  <c r="CA56"/>
  <c r="CB56"/>
  <c r="CX56"/>
  <c r="CY56"/>
  <c r="CZ56"/>
  <c r="DA56"/>
  <c r="DB56"/>
  <c r="DD56"/>
  <c r="DE56"/>
  <c r="DF56"/>
  <c r="DG56"/>
  <c r="DH56"/>
  <c r="DI56"/>
  <c r="DJ56"/>
  <c r="DK56"/>
  <c r="DL56"/>
  <c r="R57"/>
  <c r="T57"/>
  <c r="U57"/>
  <c r="V57"/>
  <c r="W57"/>
  <c r="X57"/>
  <c r="Y57"/>
  <c r="Z57"/>
  <c r="AA57"/>
  <c r="AB57"/>
  <c r="AC57"/>
  <c r="AD57"/>
  <c r="AE57"/>
  <c r="AF57"/>
  <c r="AG57"/>
  <c r="AH57"/>
  <c r="AI57"/>
  <c r="AM57"/>
  <c r="AN57"/>
  <c r="AO57"/>
  <c r="AP57"/>
  <c r="BM57"/>
  <c r="BN57"/>
  <c r="BO57"/>
  <c r="BP57"/>
  <c r="BQ57"/>
  <c r="BR57"/>
  <c r="BS57"/>
  <c r="BT57"/>
  <c r="BU57"/>
  <c r="BV57"/>
  <c r="BW57"/>
  <c r="BX57"/>
  <c r="BY57"/>
  <c r="BZ57"/>
  <c r="CA57"/>
  <c r="CB57"/>
  <c r="CX57"/>
  <c r="CY57"/>
  <c r="CZ57"/>
  <c r="DA57"/>
  <c r="DB57"/>
  <c r="DD57"/>
  <c r="DE57"/>
  <c r="DF57"/>
  <c r="DG57"/>
  <c r="DH57"/>
  <c r="DI57"/>
  <c r="DJ57"/>
  <c r="DK57"/>
  <c r="DL57"/>
  <c r="R58"/>
  <c r="T58"/>
  <c r="U58"/>
  <c r="BN58" s="1"/>
  <c r="V58"/>
  <c r="BO58" s="1"/>
  <c r="W58"/>
  <c r="BP58" s="1"/>
  <c r="X58"/>
  <c r="BQ58" s="1"/>
  <c r="Y58"/>
  <c r="BR58" s="1"/>
  <c r="Z58"/>
  <c r="BS58" s="1"/>
  <c r="AA58"/>
  <c r="BT58" s="1"/>
  <c r="AB58"/>
  <c r="BU58" s="1"/>
  <c r="AC58"/>
  <c r="BV58" s="1"/>
  <c r="AD58"/>
  <c r="BW58" s="1"/>
  <c r="AE58"/>
  <c r="BX58" s="1"/>
  <c r="AF58"/>
  <c r="BY58" s="1"/>
  <c r="AG58"/>
  <c r="BZ58" s="1"/>
  <c r="AH58"/>
  <c r="CA58" s="1"/>
  <c r="AI58"/>
  <c r="CB58" s="1"/>
  <c r="AM58"/>
  <c r="AN58"/>
  <c r="AO58"/>
  <c r="AP58"/>
  <c r="BM58"/>
  <c r="CX58"/>
  <c r="CY58"/>
  <c r="CZ58"/>
  <c r="DD58"/>
  <c r="DE58"/>
  <c r="DF58"/>
  <c r="DG58"/>
  <c r="DH58"/>
  <c r="DI58"/>
  <c r="DJ58"/>
  <c r="DK58"/>
  <c r="DL58"/>
  <c r="R59"/>
  <c r="T59"/>
  <c r="U59"/>
  <c r="V59"/>
  <c r="W59"/>
  <c r="X59"/>
  <c r="Y59"/>
  <c r="Z59"/>
  <c r="AA59"/>
  <c r="AB59"/>
  <c r="AC59"/>
  <c r="AD59"/>
  <c r="AE59"/>
  <c r="AF59"/>
  <c r="AG59"/>
  <c r="AH59"/>
  <c r="AI59"/>
  <c r="AM59"/>
  <c r="AN59"/>
  <c r="AO59"/>
  <c r="AP59"/>
  <c r="BM59"/>
  <c r="BN59"/>
  <c r="BO59"/>
  <c r="BP59"/>
  <c r="BQ59"/>
  <c r="BR59"/>
  <c r="BS59"/>
  <c r="BT59"/>
  <c r="BU59"/>
  <c r="BV59"/>
  <c r="BW59"/>
  <c r="BX59"/>
  <c r="BY59"/>
  <c r="BZ59"/>
  <c r="CA59"/>
  <c r="CB59"/>
  <c r="CX59"/>
  <c r="CY59"/>
  <c r="CZ59"/>
  <c r="DA59"/>
  <c r="DB59"/>
  <c r="DD59"/>
  <c r="DE59"/>
  <c r="DF59"/>
  <c r="DG59"/>
  <c r="DH59"/>
  <c r="DI59"/>
  <c r="DJ59"/>
  <c r="DK59"/>
  <c r="DL59"/>
  <c r="R60"/>
  <c r="T60"/>
  <c r="U60"/>
  <c r="V60"/>
  <c r="W60"/>
  <c r="X60"/>
  <c r="Y60"/>
  <c r="Z60"/>
  <c r="AA60"/>
  <c r="AB60"/>
  <c r="AC60"/>
  <c r="AD60"/>
  <c r="AE60"/>
  <c r="AF60"/>
  <c r="AG60"/>
  <c r="AH60"/>
  <c r="AI60"/>
  <c r="AM60"/>
  <c r="AN60"/>
  <c r="AO60"/>
  <c r="AP60"/>
  <c r="BM60"/>
  <c r="BN60"/>
  <c r="BO60"/>
  <c r="BP60"/>
  <c r="BQ60"/>
  <c r="BR60"/>
  <c r="BS60"/>
  <c r="BT60"/>
  <c r="BU60"/>
  <c r="BV60"/>
  <c r="BW60"/>
  <c r="BX60"/>
  <c r="BY60"/>
  <c r="BZ60"/>
  <c r="CA60"/>
  <c r="CB60"/>
  <c r="CX60"/>
  <c r="CY60"/>
  <c r="CZ60"/>
  <c r="DA60"/>
  <c r="DB60"/>
  <c r="DD60"/>
  <c r="DE60"/>
  <c r="DF60"/>
  <c r="DG60"/>
  <c r="DH60"/>
  <c r="DI60"/>
  <c r="DJ60"/>
  <c r="DK60"/>
  <c r="DL60"/>
  <c r="R61"/>
  <c r="T61"/>
  <c r="BM61" s="1"/>
  <c r="U61"/>
  <c r="BN61" s="1"/>
  <c r="V61"/>
  <c r="BO61" s="1"/>
  <c r="W61"/>
  <c r="BP61" s="1"/>
  <c r="X61"/>
  <c r="BQ61" s="1"/>
  <c r="Y61"/>
  <c r="BR61" s="1"/>
  <c r="Z61"/>
  <c r="BS61" s="1"/>
  <c r="AA61"/>
  <c r="BT61" s="1"/>
  <c r="AB61"/>
  <c r="BU61" s="1"/>
  <c r="AC61"/>
  <c r="BV61" s="1"/>
  <c r="AD61"/>
  <c r="BW61" s="1"/>
  <c r="AE61"/>
  <c r="BX61" s="1"/>
  <c r="AF61"/>
  <c r="BY61" s="1"/>
  <c r="AG61"/>
  <c r="BZ61" s="1"/>
  <c r="AH61"/>
  <c r="CA61" s="1"/>
  <c r="AI61"/>
  <c r="CB61" s="1"/>
  <c r="AM61"/>
  <c r="AN61"/>
  <c r="AO61"/>
  <c r="AP61"/>
  <c r="CX61"/>
  <c r="CY61"/>
  <c r="CZ61"/>
  <c r="DD61"/>
  <c r="DE61"/>
  <c r="DF61"/>
  <c r="DG61"/>
  <c r="DH61"/>
  <c r="DI61"/>
  <c r="DJ61"/>
  <c r="DK61"/>
  <c r="DL61"/>
  <c r="R62"/>
  <c r="T62"/>
  <c r="U62"/>
  <c r="V62"/>
  <c r="W62"/>
  <c r="X62"/>
  <c r="Y62"/>
  <c r="Z62"/>
  <c r="AA62"/>
  <c r="AB62"/>
  <c r="AC62"/>
  <c r="AD62"/>
  <c r="AE62"/>
  <c r="AF62"/>
  <c r="AG62"/>
  <c r="AH62"/>
  <c r="AI62"/>
  <c r="AM62"/>
  <c r="AN62"/>
  <c r="AO62"/>
  <c r="AP62"/>
  <c r="BM62"/>
  <c r="BN62"/>
  <c r="BO62"/>
  <c r="BP62"/>
  <c r="BQ62"/>
  <c r="BR62"/>
  <c r="BS62"/>
  <c r="BT62"/>
  <c r="BU62"/>
  <c r="BV62"/>
  <c r="BW62"/>
  <c r="BX62"/>
  <c r="BY62"/>
  <c r="BZ62"/>
  <c r="CA62"/>
  <c r="CB62"/>
  <c r="CX62"/>
  <c r="CY62"/>
  <c r="CZ62"/>
  <c r="DA62"/>
  <c r="DB62"/>
  <c r="DD62"/>
  <c r="DE62"/>
  <c r="DF62"/>
  <c r="DG62"/>
  <c r="DH62"/>
  <c r="DI62"/>
  <c r="DJ62"/>
  <c r="DK62"/>
  <c r="DL62"/>
  <c r="R63"/>
  <c r="T63"/>
  <c r="U63"/>
  <c r="V63"/>
  <c r="W63"/>
  <c r="X63"/>
  <c r="Y63"/>
  <c r="Z63"/>
  <c r="AA63"/>
  <c r="AB63"/>
  <c r="AC63"/>
  <c r="AD63"/>
  <c r="AE63"/>
  <c r="AF63"/>
  <c r="AG63"/>
  <c r="AH63"/>
  <c r="AI63"/>
  <c r="AM63"/>
  <c r="AN63"/>
  <c r="AO63"/>
  <c r="AP63"/>
  <c r="BM63"/>
  <c r="BN63"/>
  <c r="BO63"/>
  <c r="BP63"/>
  <c r="BQ63"/>
  <c r="BR63"/>
  <c r="BS63"/>
  <c r="BT63"/>
  <c r="BU63"/>
  <c r="BV63"/>
  <c r="BW63"/>
  <c r="BX63"/>
  <c r="BY63"/>
  <c r="BZ63"/>
  <c r="CA63"/>
  <c r="CB63"/>
  <c r="CX63"/>
  <c r="CY63"/>
  <c r="CZ63"/>
  <c r="DA63"/>
  <c r="DB63"/>
  <c r="DD63"/>
  <c r="DE63"/>
  <c r="DF63"/>
  <c r="DG63"/>
  <c r="DH63"/>
  <c r="DI63"/>
  <c r="DJ63"/>
  <c r="DK63"/>
  <c r="DL63"/>
  <c r="R64"/>
  <c r="T64"/>
  <c r="BM64" s="1"/>
  <c r="U64"/>
  <c r="BN64" s="1"/>
  <c r="V64"/>
  <c r="BO64" s="1"/>
  <c r="W64"/>
  <c r="BP64" s="1"/>
  <c r="X64"/>
  <c r="BQ64" s="1"/>
  <c r="Y64"/>
  <c r="BR64" s="1"/>
  <c r="Z64"/>
  <c r="BS64" s="1"/>
  <c r="AA64"/>
  <c r="BT64" s="1"/>
  <c r="AB64"/>
  <c r="BU64" s="1"/>
  <c r="AC64"/>
  <c r="AD64"/>
  <c r="BW64" s="1"/>
  <c r="AE64"/>
  <c r="AF64"/>
  <c r="BY64" s="1"/>
  <c r="AG64"/>
  <c r="AH64"/>
  <c r="CA64" s="1"/>
  <c r="AI64"/>
  <c r="AM64"/>
  <c r="AN64"/>
  <c r="AO64"/>
  <c r="AP64"/>
  <c r="CX64"/>
  <c r="CY64"/>
  <c r="CZ64"/>
  <c r="DD64"/>
  <c r="DG64"/>
  <c r="R65"/>
  <c r="T65"/>
  <c r="BM65" s="1"/>
  <c r="U65"/>
  <c r="BN65" s="1"/>
  <c r="V65"/>
  <c r="BO65" s="1"/>
  <c r="W65"/>
  <c r="BP65" s="1"/>
  <c r="X65"/>
  <c r="BQ65" s="1"/>
  <c r="Y65"/>
  <c r="BR65" s="1"/>
  <c r="Z65"/>
  <c r="BS65" s="1"/>
  <c r="AA65"/>
  <c r="BT65" s="1"/>
  <c r="AB65"/>
  <c r="BU65" s="1"/>
  <c r="AC65"/>
  <c r="BV65" s="1"/>
  <c r="AD65"/>
  <c r="BW65" s="1"/>
  <c r="AE65"/>
  <c r="BX65" s="1"/>
  <c r="AF65"/>
  <c r="BY65" s="1"/>
  <c r="AG65"/>
  <c r="BZ65" s="1"/>
  <c r="AH65"/>
  <c r="CA65" s="1"/>
  <c r="AI65"/>
  <c r="CB65" s="1"/>
  <c r="AM65"/>
  <c r="AN65"/>
  <c r="AO65"/>
  <c r="AP65"/>
  <c r="CX65"/>
  <c r="CY65"/>
  <c r="CZ65"/>
  <c r="DB65"/>
  <c r="DD65"/>
  <c r="DG65"/>
  <c r="R66"/>
  <c r="T66"/>
  <c r="BM66" s="1"/>
  <c r="U66"/>
  <c r="BN66" s="1"/>
  <c r="V66"/>
  <c r="BO66" s="1"/>
  <c r="W66"/>
  <c r="BP66" s="1"/>
  <c r="X66"/>
  <c r="BQ66" s="1"/>
  <c r="Y66"/>
  <c r="BR66" s="1"/>
  <c r="Z66"/>
  <c r="BS66" s="1"/>
  <c r="AA66"/>
  <c r="BT66" s="1"/>
  <c r="AB66"/>
  <c r="BU66" s="1"/>
  <c r="AC66"/>
  <c r="BV66" s="1"/>
  <c r="AD66"/>
  <c r="BW66" s="1"/>
  <c r="AE66"/>
  <c r="BX66" s="1"/>
  <c r="AF66"/>
  <c r="BY66" s="1"/>
  <c r="AG66"/>
  <c r="BZ66" s="1"/>
  <c r="AH66"/>
  <c r="CA66" s="1"/>
  <c r="AI66"/>
  <c r="CB66" s="1"/>
  <c r="AM66"/>
  <c r="AN66"/>
  <c r="AO66"/>
  <c r="AP66"/>
  <c r="CX66"/>
  <c r="CY66"/>
  <c r="CZ66"/>
  <c r="DB66"/>
  <c r="DD66"/>
  <c r="DG66"/>
  <c r="R67"/>
  <c r="T67"/>
  <c r="BM67" s="1"/>
  <c r="U67"/>
  <c r="V67"/>
  <c r="W67"/>
  <c r="Y67"/>
  <c r="Z67"/>
  <c r="AA67"/>
  <c r="AD67"/>
  <c r="AM67"/>
  <c r="AN67"/>
  <c r="AO67"/>
  <c r="AP67"/>
  <c r="BO67"/>
  <c r="BQ67"/>
  <c r="BR67"/>
  <c r="BS67"/>
  <c r="BT67"/>
  <c r="BU67"/>
  <c r="BV67"/>
  <c r="BW67"/>
  <c r="BX67"/>
  <c r="BY67"/>
  <c r="BZ67"/>
  <c r="CA67"/>
  <c r="CB67"/>
  <c r="CX67"/>
  <c r="CY67"/>
  <c r="CZ67"/>
  <c r="DD67"/>
  <c r="DG67"/>
  <c r="R68"/>
  <c r="T68"/>
  <c r="BM68" s="1"/>
  <c r="U68"/>
  <c r="BN68" s="1"/>
  <c r="V68"/>
  <c r="BO68" s="1"/>
  <c r="W68"/>
  <c r="X68"/>
  <c r="BQ68" s="1"/>
  <c r="Y68"/>
  <c r="BR68" s="1"/>
  <c r="Z68"/>
  <c r="BS68" s="1"/>
  <c r="AA68"/>
  <c r="BT68" s="1"/>
  <c r="AB68"/>
  <c r="BU68" s="1"/>
  <c r="AC68"/>
  <c r="BV68" s="1"/>
  <c r="AD68"/>
  <c r="AE68"/>
  <c r="BX68" s="1"/>
  <c r="AF68"/>
  <c r="BY68" s="1"/>
  <c r="AG68"/>
  <c r="BZ68" s="1"/>
  <c r="AH68"/>
  <c r="CA68" s="1"/>
  <c r="AI68"/>
  <c r="CB68" s="1"/>
  <c r="AM68"/>
  <c r="AN68"/>
  <c r="AO68"/>
  <c r="AP68"/>
  <c r="BW68"/>
  <c r="CX68"/>
  <c r="CY68"/>
  <c r="CZ68"/>
  <c r="DB68"/>
  <c r="DD68"/>
  <c r="DG68"/>
  <c r="R69"/>
  <c r="T69"/>
  <c r="BM69" s="1"/>
  <c r="U69"/>
  <c r="V69"/>
  <c r="BO69" s="1"/>
  <c r="W69"/>
  <c r="BP69" s="1"/>
  <c r="X69"/>
  <c r="BQ69" s="1"/>
  <c r="Y69"/>
  <c r="BR69" s="1"/>
  <c r="Z69"/>
  <c r="BS69" s="1"/>
  <c r="AA69"/>
  <c r="BT69" s="1"/>
  <c r="AB69"/>
  <c r="BU69" s="1"/>
  <c r="AC69"/>
  <c r="BV69" s="1"/>
  <c r="AD69"/>
  <c r="BW69" s="1"/>
  <c r="AE69"/>
  <c r="BX69" s="1"/>
  <c r="AF69"/>
  <c r="BY69" s="1"/>
  <c r="AG69"/>
  <c r="BZ69"/>
  <c r="AH69"/>
  <c r="CA69"/>
  <c r="AI69"/>
  <c r="CB69"/>
  <c r="AM69"/>
  <c r="AN69"/>
  <c r="AO69"/>
  <c r="AP69"/>
  <c r="CX69"/>
  <c r="CY69"/>
  <c r="CZ69"/>
  <c r="DB69"/>
  <c r="DD69"/>
  <c r="DG69"/>
  <c r="R70"/>
  <c r="T70"/>
  <c r="BM70" s="1"/>
  <c r="U70"/>
  <c r="BN70" s="1"/>
  <c r="V70"/>
  <c r="BO70" s="1"/>
  <c r="W70"/>
  <c r="BP70" s="1"/>
  <c r="X70"/>
  <c r="Y70"/>
  <c r="BR70" s="1"/>
  <c r="Z70"/>
  <c r="BS70" s="1"/>
  <c r="AA70"/>
  <c r="BT70" s="1"/>
  <c r="AB70"/>
  <c r="BU70" s="1"/>
  <c r="AC70"/>
  <c r="BV70" s="1"/>
  <c r="AD70"/>
  <c r="BW70" s="1"/>
  <c r="AE70"/>
  <c r="AF70"/>
  <c r="BY70" s="1"/>
  <c r="AG70"/>
  <c r="AH70"/>
  <c r="AI70"/>
  <c r="CB70" s="1"/>
  <c r="AM70"/>
  <c r="AN70"/>
  <c r="AO70"/>
  <c r="AP70"/>
  <c r="BZ70"/>
  <c r="CX70"/>
  <c r="CY70"/>
  <c r="CZ70"/>
  <c r="DB70"/>
  <c r="DD70"/>
  <c r="DG70"/>
  <c r="R71"/>
  <c r="T71"/>
  <c r="BM71" s="1"/>
  <c r="U71"/>
  <c r="V71"/>
  <c r="BO71" s="1"/>
  <c r="W71"/>
  <c r="BP71" s="1"/>
  <c r="X71"/>
  <c r="BQ71" s="1"/>
  <c r="Y71"/>
  <c r="BR71" s="1"/>
  <c r="Z71"/>
  <c r="BS71" s="1"/>
  <c r="AA71"/>
  <c r="BT71" s="1"/>
  <c r="AB71"/>
  <c r="BU71" s="1"/>
  <c r="AC71"/>
  <c r="BV71" s="1"/>
  <c r="AD71"/>
  <c r="BW71" s="1"/>
  <c r="AE71"/>
  <c r="BX71" s="1"/>
  <c r="AF71"/>
  <c r="BY71" s="1"/>
  <c r="AG71"/>
  <c r="BZ71" s="1"/>
  <c r="AH71"/>
  <c r="CA71" s="1"/>
  <c r="AI71"/>
  <c r="CB71" s="1"/>
  <c r="AM71"/>
  <c r="AN71"/>
  <c r="AO71"/>
  <c r="AP71"/>
  <c r="CX71"/>
  <c r="CY71"/>
  <c r="CZ71"/>
  <c r="DB71"/>
  <c r="DD71"/>
  <c r="DG71"/>
  <c r="R72"/>
  <c r="T72"/>
  <c r="BM72" s="1"/>
  <c r="U72"/>
  <c r="BN72" s="1"/>
  <c r="V72"/>
  <c r="BO72" s="1"/>
  <c r="W72"/>
  <c r="X72"/>
  <c r="BQ72" s="1"/>
  <c r="Y72"/>
  <c r="BR72" s="1"/>
  <c r="Z72"/>
  <c r="BS72" s="1"/>
  <c r="AA72"/>
  <c r="BT72" s="1"/>
  <c r="AB72"/>
  <c r="BU72" s="1"/>
  <c r="AC72"/>
  <c r="BV72" s="1"/>
  <c r="AD72"/>
  <c r="AE72"/>
  <c r="BX72" s="1"/>
  <c r="AF72"/>
  <c r="BY72" s="1"/>
  <c r="AG72"/>
  <c r="BZ72" s="1"/>
  <c r="AH72"/>
  <c r="CA72" s="1"/>
  <c r="AI72"/>
  <c r="CB72" s="1"/>
  <c r="AM72"/>
  <c r="AN72"/>
  <c r="AO72"/>
  <c r="AP72"/>
  <c r="BW72"/>
  <c r="CX72"/>
  <c r="CY72"/>
  <c r="CZ72"/>
  <c r="DB72"/>
  <c r="DD72"/>
  <c r="DG72"/>
  <c r="R73"/>
  <c r="T73"/>
  <c r="BM73" s="1"/>
  <c r="U73"/>
  <c r="V73"/>
  <c r="BO73" s="1"/>
  <c r="W73"/>
  <c r="BP73" s="1"/>
  <c r="X73"/>
  <c r="Y73"/>
  <c r="BR73" s="1"/>
  <c r="Z73"/>
  <c r="BS73" s="1"/>
  <c r="AA73"/>
  <c r="BT73" s="1"/>
  <c r="AB73"/>
  <c r="BU73" s="1"/>
  <c r="AC73"/>
  <c r="BV73" s="1"/>
  <c r="AD73"/>
  <c r="BW73" s="1"/>
  <c r="AE73"/>
  <c r="BX73" s="1"/>
  <c r="AF73"/>
  <c r="BY73" s="1"/>
  <c r="AG73"/>
  <c r="BZ73" s="1"/>
  <c r="AH73"/>
  <c r="AI73"/>
  <c r="CB73" s="1"/>
  <c r="AM73"/>
  <c r="AN73"/>
  <c r="AO73"/>
  <c r="AP73"/>
  <c r="BQ73"/>
  <c r="CX73"/>
  <c r="CY73"/>
  <c r="CZ73"/>
  <c r="DB73"/>
  <c r="DD73"/>
  <c r="DG73"/>
  <c r="R74"/>
  <c r="T74"/>
  <c r="BM74" s="1"/>
  <c r="U74"/>
  <c r="BN74" s="1"/>
  <c r="V74"/>
  <c r="BO74" s="1"/>
  <c r="W74"/>
  <c r="BP74" s="1"/>
  <c r="X74"/>
  <c r="BQ74" s="1"/>
  <c r="Y74"/>
  <c r="BR74" s="1"/>
  <c r="Z74"/>
  <c r="BS74" s="1"/>
  <c r="AA74"/>
  <c r="BT74" s="1"/>
  <c r="AB74"/>
  <c r="BU74" s="1"/>
  <c r="AC74"/>
  <c r="BV74" s="1"/>
  <c r="AD74"/>
  <c r="BW74" s="1"/>
  <c r="AE74"/>
  <c r="BX74" s="1"/>
  <c r="AF74"/>
  <c r="BY74" s="1"/>
  <c r="AG74"/>
  <c r="BZ74" s="1"/>
  <c r="AH74"/>
  <c r="CA74" s="1"/>
  <c r="AI74"/>
  <c r="CB74" s="1"/>
  <c r="AM74"/>
  <c r="AN74"/>
  <c r="AO74"/>
  <c r="AP74"/>
  <c r="CX74"/>
  <c r="CY74"/>
  <c r="CZ74"/>
  <c r="DB74"/>
  <c r="DD74"/>
  <c r="DG74"/>
  <c r="R75"/>
  <c r="T75"/>
  <c r="BM75" s="1"/>
  <c r="U75"/>
  <c r="V75"/>
  <c r="BO75" s="1"/>
  <c r="W75"/>
  <c r="BP75" s="1"/>
  <c r="X75"/>
  <c r="BQ75" s="1"/>
  <c r="Y75"/>
  <c r="BR75" s="1"/>
  <c r="Z75"/>
  <c r="BS75" s="1"/>
  <c r="AA75"/>
  <c r="BT75" s="1"/>
  <c r="AB75"/>
  <c r="BU75" s="1"/>
  <c r="AC75"/>
  <c r="BV75" s="1"/>
  <c r="AD75"/>
  <c r="BW75" s="1"/>
  <c r="AE75"/>
  <c r="BX75" s="1"/>
  <c r="AF75"/>
  <c r="BY75" s="1"/>
  <c r="AG75"/>
  <c r="BZ75" s="1"/>
  <c r="AH75"/>
  <c r="CA75" s="1"/>
  <c r="AI75"/>
  <c r="CB75" s="1"/>
  <c r="AM75"/>
  <c r="AN75"/>
  <c r="AO75"/>
  <c r="AP75"/>
  <c r="CX75"/>
  <c r="CY75"/>
  <c r="CZ75"/>
  <c r="DB75"/>
  <c r="DD75"/>
  <c r="DG75"/>
  <c r="R76"/>
  <c r="T76"/>
  <c r="BM76" s="1"/>
  <c r="U76"/>
  <c r="BN76" s="1"/>
  <c r="V76"/>
  <c r="W76"/>
  <c r="BP76" s="1"/>
  <c r="X76"/>
  <c r="BQ76" s="1"/>
  <c r="Y76"/>
  <c r="BR76" s="1"/>
  <c r="Z76"/>
  <c r="BS76" s="1"/>
  <c r="AA76"/>
  <c r="BT76" s="1"/>
  <c r="AB76"/>
  <c r="BU76" s="1"/>
  <c r="AC76"/>
  <c r="BV76" s="1"/>
  <c r="AD76"/>
  <c r="BW76" s="1"/>
  <c r="AE76"/>
  <c r="BX76" s="1"/>
  <c r="AF76"/>
  <c r="BY76" s="1"/>
  <c r="AG76"/>
  <c r="BZ76" s="1"/>
  <c r="AH76"/>
  <c r="CA76" s="1"/>
  <c r="AI76"/>
  <c r="CB76" s="1"/>
  <c r="AM76"/>
  <c r="AN76"/>
  <c r="AO76"/>
  <c r="AP76"/>
  <c r="CX76"/>
  <c r="CY76"/>
  <c r="CZ76"/>
  <c r="DB76"/>
  <c r="DD76"/>
  <c r="DG76"/>
  <c r="R77"/>
  <c r="T77"/>
  <c r="BM77" s="1"/>
  <c r="U77"/>
  <c r="BN77" s="1"/>
  <c r="V77"/>
  <c r="BO77" s="1"/>
  <c r="W77"/>
  <c r="BP77" s="1"/>
  <c r="X77"/>
  <c r="BQ77" s="1"/>
  <c r="Y77"/>
  <c r="Z77"/>
  <c r="BS77" s="1"/>
  <c r="AA77"/>
  <c r="BT77" s="1"/>
  <c r="AB77"/>
  <c r="BU77" s="1"/>
  <c r="AC77"/>
  <c r="BV77" s="1"/>
  <c r="AD77"/>
  <c r="BW77" s="1"/>
  <c r="AE77"/>
  <c r="BX77" s="1"/>
  <c r="AF77"/>
  <c r="BY77" s="1"/>
  <c r="AG77"/>
  <c r="BZ77" s="1"/>
  <c r="AH77"/>
  <c r="CA77" s="1"/>
  <c r="AI77"/>
  <c r="CB77" s="1"/>
  <c r="AM77"/>
  <c r="AN77"/>
  <c r="AO77"/>
  <c r="AP77"/>
  <c r="BR77"/>
  <c r="CX77"/>
  <c r="CY77"/>
  <c r="CZ77"/>
  <c r="DB77"/>
  <c r="DD77"/>
  <c r="DG77"/>
  <c r="R78"/>
  <c r="T78"/>
  <c r="U78"/>
  <c r="BN78" s="1"/>
  <c r="V78"/>
  <c r="BO78" s="1"/>
  <c r="W78"/>
  <c r="BP78" s="1"/>
  <c r="X78"/>
  <c r="BQ78" s="1"/>
  <c r="Y78"/>
  <c r="BR78" s="1"/>
  <c r="Z78"/>
  <c r="BS78" s="1"/>
  <c r="AA78"/>
  <c r="BT78" s="1"/>
  <c r="AB78"/>
  <c r="BU78" s="1"/>
  <c r="AC78"/>
  <c r="BV78" s="1"/>
  <c r="AD78"/>
  <c r="BW78" s="1"/>
  <c r="AE78"/>
  <c r="BX78" s="1"/>
  <c r="AF78"/>
  <c r="BY78" s="1"/>
  <c r="AG78"/>
  <c r="BZ78" s="1"/>
  <c r="AH78"/>
  <c r="CA78" s="1"/>
  <c r="AI78"/>
  <c r="CB78" s="1"/>
  <c r="AM78"/>
  <c r="AN78"/>
  <c r="AO78"/>
  <c r="AP78"/>
  <c r="BM78"/>
  <c r="CX78"/>
  <c r="CY78"/>
  <c r="CZ78"/>
  <c r="DB78"/>
  <c r="DD78"/>
  <c r="DG78"/>
  <c r="R79"/>
  <c r="T79"/>
  <c r="U79"/>
  <c r="V79"/>
  <c r="W79"/>
  <c r="X79"/>
  <c r="Y79"/>
  <c r="Z79"/>
  <c r="AA79"/>
  <c r="AB79"/>
  <c r="AC79"/>
  <c r="AD79"/>
  <c r="AE79"/>
  <c r="AF79"/>
  <c r="AG79"/>
  <c r="AH79"/>
  <c r="AI79"/>
  <c r="AM79"/>
  <c r="AN79"/>
  <c r="AO79"/>
  <c r="AP79"/>
  <c r="BM79"/>
  <c r="BN79"/>
  <c r="BO79"/>
  <c r="BP79"/>
  <c r="BQ79"/>
  <c r="BR79"/>
  <c r="BS79"/>
  <c r="BT79"/>
  <c r="BU79"/>
  <c r="BV79"/>
  <c r="BW79"/>
  <c r="BX79"/>
  <c r="BY79"/>
  <c r="BZ79"/>
  <c r="CA79"/>
  <c r="CB79"/>
  <c r="CX79"/>
  <c r="CY79"/>
  <c r="CZ79"/>
  <c r="DB79"/>
  <c r="DD79"/>
  <c r="DG79"/>
  <c r="R80"/>
  <c r="T80"/>
  <c r="U80"/>
  <c r="BN80" s="1"/>
  <c r="V80"/>
  <c r="BO80" s="1"/>
  <c r="W80"/>
  <c r="BP80" s="1"/>
  <c r="X80"/>
  <c r="BQ80" s="1"/>
  <c r="Y80"/>
  <c r="BR80" s="1"/>
  <c r="Z80"/>
  <c r="BS80" s="1"/>
  <c r="AA80"/>
  <c r="BT80" s="1"/>
  <c r="AB80"/>
  <c r="BU80" s="1"/>
  <c r="AC80"/>
  <c r="BV80" s="1"/>
  <c r="AD80"/>
  <c r="BW80" s="1"/>
  <c r="AE80"/>
  <c r="BX80" s="1"/>
  <c r="AF80"/>
  <c r="BY80" s="1"/>
  <c r="AG80"/>
  <c r="BZ80" s="1"/>
  <c r="AH80"/>
  <c r="CA80" s="1"/>
  <c r="AI80"/>
  <c r="CB80" s="1"/>
  <c r="AM80"/>
  <c r="AN80"/>
  <c r="AO80"/>
  <c r="AP80"/>
  <c r="BM80"/>
  <c r="CX80"/>
  <c r="CY80"/>
  <c r="CZ80"/>
  <c r="DB80"/>
  <c r="DD80"/>
  <c r="DG80"/>
  <c r="R81"/>
  <c r="T81"/>
  <c r="U81"/>
  <c r="V81"/>
  <c r="W81"/>
  <c r="X81"/>
  <c r="Y81"/>
  <c r="Z81"/>
  <c r="AA81"/>
  <c r="AB81"/>
  <c r="AC81"/>
  <c r="AD81"/>
  <c r="AE81"/>
  <c r="AF81"/>
  <c r="AG81"/>
  <c r="AH81"/>
  <c r="AI81"/>
  <c r="AM81"/>
  <c r="AN81"/>
  <c r="AO81"/>
  <c r="AP81"/>
  <c r="BM81"/>
  <c r="BN81"/>
  <c r="BO81"/>
  <c r="BP81"/>
  <c r="BQ81"/>
  <c r="BR81"/>
  <c r="BS81"/>
  <c r="BT81"/>
  <c r="BU81"/>
  <c r="BV81"/>
  <c r="BW81"/>
  <c r="BX81"/>
  <c r="BY81"/>
  <c r="BZ81"/>
  <c r="CA81"/>
  <c r="CB81"/>
  <c r="CX81"/>
  <c r="CY81"/>
  <c r="CZ81"/>
  <c r="DB81"/>
  <c r="DD81"/>
  <c r="DG81"/>
  <c r="R82"/>
  <c r="T82"/>
  <c r="BM82" s="1"/>
  <c r="U82"/>
  <c r="BN82" s="1"/>
  <c r="V82"/>
  <c r="BO82" s="1"/>
  <c r="W82"/>
  <c r="BP82" s="1"/>
  <c r="X82"/>
  <c r="BQ82" s="1"/>
  <c r="Y82"/>
  <c r="BR82" s="1"/>
  <c r="Z82"/>
  <c r="BS82" s="1"/>
  <c r="AA82"/>
  <c r="BT82" s="1"/>
  <c r="AB82"/>
  <c r="BU82" s="1"/>
  <c r="AC82"/>
  <c r="BV82" s="1"/>
  <c r="AD82"/>
  <c r="BW82" s="1"/>
  <c r="AE82"/>
  <c r="BX82" s="1"/>
  <c r="AF82"/>
  <c r="BY82" s="1"/>
  <c r="AG82"/>
  <c r="BZ82" s="1"/>
  <c r="AH82"/>
  <c r="AI82"/>
  <c r="CB82" s="1"/>
  <c r="AM82"/>
  <c r="AN82"/>
  <c r="AO82"/>
  <c r="AP82"/>
  <c r="CA82"/>
  <c r="CX82"/>
  <c r="CY82"/>
  <c r="CZ82"/>
  <c r="DB82"/>
  <c r="DD82"/>
  <c r="DG82"/>
  <c r="R83"/>
  <c r="T83"/>
  <c r="BM83" s="1"/>
  <c r="U83"/>
  <c r="BN83" s="1"/>
  <c r="V83"/>
  <c r="BO83" s="1"/>
  <c r="W83"/>
  <c r="BP83" s="1"/>
  <c r="X83"/>
  <c r="BQ83" s="1"/>
  <c r="Y83"/>
  <c r="BR83" s="1"/>
  <c r="Z83"/>
  <c r="BS83" s="1"/>
  <c r="AA83"/>
  <c r="BT83" s="1"/>
  <c r="AB83"/>
  <c r="BU83" s="1"/>
  <c r="AC83"/>
  <c r="BV83" s="1"/>
  <c r="AD83"/>
  <c r="BW83" s="1"/>
  <c r="AE83"/>
  <c r="BX83" s="1"/>
  <c r="AF83"/>
  <c r="BY83" s="1"/>
  <c r="AG83"/>
  <c r="BZ83" s="1"/>
  <c r="AH83"/>
  <c r="CA83" s="1"/>
  <c r="AI83"/>
  <c r="CB83" s="1"/>
  <c r="AM83"/>
  <c r="AN83"/>
  <c r="AO83"/>
  <c r="AP83"/>
  <c r="CX83"/>
  <c r="CY83"/>
  <c r="CZ83"/>
  <c r="DB83"/>
  <c r="DD83"/>
  <c r="DG83"/>
  <c r="R84"/>
  <c r="T84"/>
  <c r="BM84" s="1"/>
  <c r="U84"/>
  <c r="BN84" s="1"/>
  <c r="V84"/>
  <c r="BO84" s="1"/>
  <c r="W84"/>
  <c r="BP84" s="1"/>
  <c r="X84"/>
  <c r="Y84"/>
  <c r="BR84" s="1"/>
  <c r="Z84"/>
  <c r="BS84" s="1"/>
  <c r="AA84"/>
  <c r="BT84" s="1"/>
  <c r="AB84"/>
  <c r="BU84" s="1"/>
  <c r="AC84"/>
  <c r="BV84" s="1"/>
  <c r="AD84"/>
  <c r="BW84" s="1"/>
  <c r="AE84"/>
  <c r="BX84" s="1"/>
  <c r="AF84"/>
  <c r="BY84" s="1"/>
  <c r="AG84"/>
  <c r="BZ84" s="1"/>
  <c r="AH84"/>
  <c r="CA84" s="1"/>
  <c r="AI84"/>
  <c r="CB84" s="1"/>
  <c r="AM84"/>
  <c r="AN84"/>
  <c r="AO84"/>
  <c r="AP84"/>
  <c r="BQ84"/>
  <c r="CX84"/>
  <c r="CY84"/>
  <c r="CZ84"/>
  <c r="DB84"/>
  <c r="DD84"/>
  <c r="DG84"/>
  <c r="R85"/>
  <c r="T85"/>
  <c r="U85"/>
  <c r="BN85" s="1"/>
  <c r="V85"/>
  <c r="BO85" s="1"/>
  <c r="W85"/>
  <c r="BP85" s="1"/>
  <c r="X85"/>
  <c r="BQ85" s="1"/>
  <c r="Y85"/>
  <c r="BR85" s="1"/>
  <c r="Z85"/>
  <c r="BS85" s="1"/>
  <c r="AA85"/>
  <c r="BT85" s="1"/>
  <c r="AB85"/>
  <c r="BU85" s="1"/>
  <c r="AC85"/>
  <c r="BV85" s="1"/>
  <c r="AD85"/>
  <c r="BW85" s="1"/>
  <c r="AE85"/>
  <c r="BX85" s="1"/>
  <c r="AF85"/>
  <c r="BY85" s="1"/>
  <c r="AG85"/>
  <c r="BZ85" s="1"/>
  <c r="AH85"/>
  <c r="CA85" s="1"/>
  <c r="AI85"/>
  <c r="CB85" s="1"/>
  <c r="AM85"/>
  <c r="AN85"/>
  <c r="AO85"/>
  <c r="AP85"/>
  <c r="BM85"/>
  <c r="CX85"/>
  <c r="CY85"/>
  <c r="CZ85"/>
  <c r="DB85"/>
  <c r="DD85"/>
  <c r="DG85"/>
  <c r="C87"/>
  <c r="D87"/>
  <c r="E87"/>
  <c r="B175"/>
  <c r="C175"/>
  <c r="D175"/>
  <c r="E175"/>
  <c r="F175"/>
  <c r="G175"/>
  <c r="H175"/>
  <c r="I175"/>
  <c r="J175"/>
  <c r="K175"/>
  <c r="L175"/>
  <c r="M175"/>
  <c r="N175"/>
  <c r="O175"/>
  <c r="P175"/>
  <c r="Q175"/>
  <c r="B176"/>
  <c r="C176"/>
  <c r="D176"/>
  <c r="E176"/>
  <c r="F176"/>
  <c r="G176"/>
  <c r="H176"/>
  <c r="I176"/>
  <c r="J176"/>
  <c r="K176"/>
  <c r="L176"/>
  <c r="M176"/>
  <c r="N176"/>
  <c r="O176"/>
  <c r="P176"/>
  <c r="Q176"/>
  <c r="B177"/>
  <c r="C177"/>
  <c r="D177"/>
  <c r="E177"/>
  <c r="F177"/>
  <c r="G177"/>
  <c r="H177"/>
  <c r="I177"/>
  <c r="J177"/>
  <c r="K177"/>
  <c r="L177"/>
  <c r="M177"/>
  <c r="N177"/>
  <c r="O177"/>
  <c r="P177"/>
  <c r="Q177"/>
  <c r="B178"/>
  <c r="C178"/>
  <c r="D178"/>
  <c r="E178"/>
  <c r="F178"/>
  <c r="G178"/>
  <c r="H178"/>
  <c r="I178"/>
  <c r="J178"/>
  <c r="K178"/>
  <c r="L178"/>
  <c r="M178"/>
  <c r="N178"/>
  <c r="O178"/>
  <c r="P178"/>
  <c r="Q178"/>
  <c r="B179"/>
  <c r="C179"/>
  <c r="D179"/>
  <c r="E179"/>
  <c r="F179"/>
  <c r="G179"/>
  <c r="H179"/>
  <c r="I179"/>
  <c r="J179"/>
  <c r="K179"/>
  <c r="L179"/>
  <c r="M179"/>
  <c r="N179"/>
  <c r="O179"/>
  <c r="P179"/>
  <c r="Q179"/>
  <c r="B180"/>
  <c r="C180"/>
  <c r="D180"/>
  <c r="E180"/>
  <c r="F180"/>
  <c r="G180"/>
  <c r="H180"/>
  <c r="I180"/>
  <c r="J180"/>
  <c r="K180"/>
  <c r="L180"/>
  <c r="M180"/>
  <c r="N180"/>
  <c r="O180"/>
  <c r="P180"/>
  <c r="Q180"/>
  <c r="B181"/>
  <c r="C181"/>
  <c r="D181"/>
  <c r="E181"/>
  <c r="F181"/>
  <c r="G181"/>
  <c r="H181"/>
  <c r="I181"/>
  <c r="J181"/>
  <c r="K181"/>
  <c r="L181"/>
  <c r="M181"/>
  <c r="N181"/>
  <c r="O181"/>
  <c r="P181"/>
  <c r="Q181"/>
  <c r="B182"/>
  <c r="C182"/>
  <c r="D182"/>
  <c r="E182"/>
  <c r="F182"/>
  <c r="G182"/>
  <c r="H182"/>
  <c r="I182"/>
  <c r="J182"/>
  <c r="K182"/>
  <c r="L182"/>
  <c r="M182"/>
  <c r="N182"/>
  <c r="O182"/>
  <c r="P182"/>
  <c r="Q182"/>
  <c r="B183"/>
  <c r="C183"/>
  <c r="D183"/>
  <c r="E183"/>
  <c r="F183"/>
  <c r="G183"/>
  <c r="H183"/>
  <c r="I183"/>
  <c r="J183"/>
  <c r="K183"/>
  <c r="L183"/>
  <c r="M183"/>
  <c r="N183"/>
  <c r="O183"/>
  <c r="P183"/>
  <c r="Q183"/>
  <c r="B184"/>
  <c r="C184"/>
  <c r="D184"/>
  <c r="E184"/>
  <c r="F184"/>
  <c r="G184"/>
  <c r="H184"/>
  <c r="I184"/>
  <c r="J184"/>
  <c r="K184"/>
  <c r="L184"/>
  <c r="M184"/>
  <c r="N184"/>
  <c r="O184"/>
  <c r="P184"/>
  <c r="Q184"/>
  <c r="B185"/>
  <c r="C185"/>
  <c r="D185"/>
  <c r="E185"/>
  <c r="F185"/>
  <c r="G185"/>
  <c r="H185"/>
  <c r="I185"/>
  <c r="J185"/>
  <c r="K185"/>
  <c r="L185"/>
  <c r="M185"/>
  <c r="N185"/>
  <c r="O185"/>
  <c r="P185"/>
  <c r="Q185"/>
  <c r="B186"/>
  <c r="C186"/>
  <c r="D186"/>
  <c r="E186"/>
  <c r="F186"/>
  <c r="G186"/>
  <c r="H186"/>
  <c r="I186"/>
  <c r="J186"/>
  <c r="K186"/>
  <c r="L186"/>
  <c r="M186"/>
  <c r="N186"/>
  <c r="O186"/>
  <c r="P186"/>
  <c r="Q186"/>
  <c r="B187"/>
  <c r="C187"/>
  <c r="D187"/>
  <c r="E187"/>
  <c r="F187"/>
  <c r="G187"/>
  <c r="H187"/>
  <c r="I187"/>
  <c r="J187"/>
  <c r="K187"/>
  <c r="L187"/>
  <c r="M187"/>
  <c r="N187"/>
  <c r="O187"/>
  <c r="P187"/>
  <c r="Q187"/>
  <c r="B188"/>
  <c r="C188"/>
  <c r="D188"/>
  <c r="E188"/>
  <c r="F188"/>
  <c r="G188"/>
  <c r="H188"/>
  <c r="I188"/>
  <c r="J188"/>
  <c r="K188"/>
  <c r="L188"/>
  <c r="M188"/>
  <c r="N188"/>
  <c r="O188"/>
  <c r="P188"/>
  <c r="Q188"/>
  <c r="B189"/>
  <c r="C189"/>
  <c r="D189"/>
  <c r="E189"/>
  <c r="F189"/>
  <c r="G189"/>
  <c r="H189"/>
  <c r="I189"/>
  <c r="J189"/>
  <c r="K189"/>
  <c r="L189"/>
  <c r="M189"/>
  <c r="N189"/>
  <c r="O189"/>
  <c r="P189"/>
  <c r="Q189"/>
  <c r="B190"/>
  <c r="C190"/>
  <c r="D190"/>
  <c r="E190"/>
  <c r="F190"/>
  <c r="G190"/>
  <c r="H190"/>
  <c r="I190"/>
  <c r="J190"/>
  <c r="K190"/>
  <c r="L190"/>
  <c r="M190"/>
  <c r="N190"/>
  <c r="O190"/>
  <c r="P190"/>
  <c r="Q190"/>
  <c r="B191"/>
  <c r="C191"/>
  <c r="D191"/>
  <c r="E191"/>
  <c r="F191"/>
  <c r="G191"/>
  <c r="H191"/>
  <c r="I191"/>
  <c r="J191"/>
  <c r="K191"/>
  <c r="L191"/>
  <c r="M191"/>
  <c r="N191"/>
  <c r="O191"/>
  <c r="P191"/>
  <c r="Q191"/>
  <c r="B192"/>
  <c r="C192"/>
  <c r="D192"/>
  <c r="E192"/>
  <c r="F192"/>
  <c r="G192"/>
  <c r="H192"/>
  <c r="I192"/>
  <c r="J192"/>
  <c r="K192"/>
  <c r="L192"/>
  <c r="M192"/>
  <c r="N192"/>
  <c r="O192"/>
  <c r="P192"/>
  <c r="Q192"/>
  <c r="B193"/>
  <c r="C193"/>
  <c r="D193"/>
  <c r="E193"/>
  <c r="F193"/>
  <c r="G193"/>
  <c r="H193"/>
  <c r="I193"/>
  <c r="J193"/>
  <c r="K193"/>
  <c r="L193"/>
  <c r="M193"/>
  <c r="N193"/>
  <c r="O193"/>
  <c r="P193"/>
  <c r="Q193"/>
  <c r="B194"/>
  <c r="C194"/>
  <c r="D194"/>
  <c r="E194"/>
  <c r="F194"/>
  <c r="G194"/>
  <c r="H194"/>
  <c r="I194"/>
  <c r="J194"/>
  <c r="K194"/>
  <c r="L194"/>
  <c r="M194"/>
  <c r="N194"/>
  <c r="O194"/>
  <c r="P194"/>
  <c r="Q194"/>
  <c r="B195"/>
  <c r="C195"/>
  <c r="D195"/>
  <c r="E195"/>
  <c r="F195"/>
  <c r="G195"/>
  <c r="H195"/>
  <c r="I195"/>
  <c r="J195"/>
  <c r="K195"/>
  <c r="L195"/>
  <c r="M195"/>
  <c r="N195"/>
  <c r="O195"/>
  <c r="P195"/>
  <c r="Q195"/>
  <c r="B196"/>
  <c r="C196"/>
  <c r="D196"/>
  <c r="E196"/>
  <c r="F196"/>
  <c r="G196"/>
  <c r="H196"/>
  <c r="I196"/>
  <c r="J196"/>
  <c r="K196"/>
  <c r="L196"/>
  <c r="M196"/>
  <c r="N196"/>
  <c r="O196"/>
  <c r="P196"/>
  <c r="Q196"/>
  <c r="B197"/>
  <c r="C197"/>
  <c r="D197"/>
  <c r="E197"/>
  <c r="F197"/>
  <c r="G197"/>
  <c r="H197"/>
  <c r="I197"/>
  <c r="J197"/>
  <c r="K197"/>
  <c r="L197"/>
  <c r="M197"/>
  <c r="N197"/>
  <c r="O197"/>
  <c r="P197"/>
  <c r="Q197"/>
  <c r="B198"/>
  <c r="C198"/>
  <c r="D198"/>
  <c r="E198"/>
  <c r="F198"/>
  <c r="G198"/>
  <c r="H198"/>
  <c r="I198"/>
  <c r="J198"/>
  <c r="K198"/>
  <c r="L198"/>
  <c r="M198"/>
  <c r="N198"/>
  <c r="O198"/>
  <c r="P198"/>
  <c r="Q198"/>
  <c r="B199"/>
  <c r="C199"/>
  <c r="D199"/>
  <c r="E199"/>
  <c r="F199"/>
  <c r="G199"/>
  <c r="H199"/>
  <c r="I199"/>
  <c r="J199"/>
  <c r="K199"/>
  <c r="L199"/>
  <c r="M199"/>
  <c r="N199"/>
  <c r="O199"/>
  <c r="P199"/>
  <c r="Q199"/>
  <c r="B200"/>
  <c r="C200"/>
  <c r="D200"/>
  <c r="E200"/>
  <c r="F200"/>
  <c r="G200"/>
  <c r="H200"/>
  <c r="I200"/>
  <c r="J200"/>
  <c r="K200"/>
  <c r="L200"/>
  <c r="M200"/>
  <c r="N200"/>
  <c r="O200"/>
  <c r="P200"/>
  <c r="Q200"/>
  <c r="B201"/>
  <c r="C201"/>
  <c r="D201"/>
  <c r="E201"/>
  <c r="F201"/>
  <c r="G201"/>
  <c r="H201"/>
  <c r="I201"/>
  <c r="J201"/>
  <c r="K201"/>
  <c r="L201"/>
  <c r="M201"/>
  <c r="N201"/>
  <c r="O201"/>
  <c r="P201"/>
  <c r="Q201"/>
  <c r="B202"/>
  <c r="C202"/>
  <c r="D202"/>
  <c r="E202"/>
  <c r="F202"/>
  <c r="G202"/>
  <c r="H202"/>
  <c r="I202"/>
  <c r="J202"/>
  <c r="K202"/>
  <c r="L202"/>
  <c r="M202"/>
  <c r="N202"/>
  <c r="O202"/>
  <c r="P202"/>
  <c r="Q202"/>
  <c r="B203"/>
  <c r="C203"/>
  <c r="D203"/>
  <c r="E203"/>
  <c r="F203"/>
  <c r="G203"/>
  <c r="H203"/>
  <c r="I203"/>
  <c r="J203"/>
  <c r="K203"/>
  <c r="L203"/>
  <c r="M203"/>
  <c r="N203"/>
  <c r="O203"/>
  <c r="P203"/>
  <c r="Q203"/>
  <c r="B204"/>
  <c r="C204"/>
  <c r="D204"/>
  <c r="E204"/>
  <c r="F204"/>
  <c r="G204"/>
  <c r="H204"/>
  <c r="I204"/>
  <c r="J204"/>
  <c r="K204"/>
  <c r="L204"/>
  <c r="M204"/>
  <c r="N204"/>
  <c r="O204"/>
  <c r="P204"/>
  <c r="Q204"/>
  <c r="B205"/>
  <c r="C205"/>
  <c r="D205"/>
  <c r="E205"/>
  <c r="F205"/>
  <c r="G205"/>
  <c r="H205"/>
  <c r="I205"/>
  <c r="J205"/>
  <c r="K205"/>
  <c r="L205"/>
  <c r="M205"/>
  <c r="N205"/>
  <c r="O205"/>
  <c r="P205"/>
  <c r="Q205"/>
  <c r="B206"/>
  <c r="C206"/>
  <c r="D206"/>
  <c r="E206"/>
  <c r="F206"/>
  <c r="G206"/>
  <c r="H206"/>
  <c r="I206"/>
  <c r="J206"/>
  <c r="K206"/>
  <c r="L206"/>
  <c r="M206"/>
  <c r="N206"/>
  <c r="O206"/>
  <c r="P206"/>
  <c r="Q206"/>
  <c r="B207"/>
  <c r="C207"/>
  <c r="D207"/>
  <c r="E207"/>
  <c r="F207"/>
  <c r="G207"/>
  <c r="H207"/>
  <c r="I207"/>
  <c r="J207"/>
  <c r="K207"/>
  <c r="L207"/>
  <c r="M207"/>
  <c r="N207"/>
  <c r="O207"/>
  <c r="P207"/>
  <c r="Q207"/>
  <c r="B208"/>
  <c r="C208"/>
  <c r="D208"/>
  <c r="E208"/>
  <c r="F208"/>
  <c r="G208"/>
  <c r="H208"/>
  <c r="I208"/>
  <c r="J208"/>
  <c r="K208"/>
  <c r="L208"/>
  <c r="M208"/>
  <c r="N208"/>
  <c r="O208"/>
  <c r="P208"/>
  <c r="Q208"/>
  <c r="B209"/>
  <c r="C209"/>
  <c r="D209"/>
  <c r="E209"/>
  <c r="F209"/>
  <c r="G209"/>
  <c r="H209"/>
  <c r="I209"/>
  <c r="J209"/>
  <c r="K209"/>
  <c r="L209"/>
  <c r="M209"/>
  <c r="N209"/>
  <c r="O209"/>
  <c r="P209"/>
  <c r="Q209"/>
  <c r="B210"/>
  <c r="C210"/>
  <c r="D210"/>
  <c r="E210"/>
  <c r="F210"/>
  <c r="G210"/>
  <c r="H210"/>
  <c r="I210"/>
  <c r="J210"/>
  <c r="K210"/>
  <c r="L210"/>
  <c r="M210"/>
  <c r="N210"/>
  <c r="O210"/>
  <c r="P210"/>
  <c r="Q210"/>
  <c r="B211"/>
  <c r="C211"/>
  <c r="D211"/>
  <c r="E211"/>
  <c r="F211"/>
  <c r="G211"/>
  <c r="H211"/>
  <c r="I211"/>
  <c r="J211"/>
  <c r="K211"/>
  <c r="L211"/>
  <c r="M211"/>
  <c r="N211"/>
  <c r="O211"/>
  <c r="P211"/>
  <c r="Q211"/>
  <c r="B212"/>
  <c r="C212"/>
  <c r="D212"/>
  <c r="E212"/>
  <c r="F212"/>
  <c r="G212"/>
  <c r="H212"/>
  <c r="I212"/>
  <c r="J212"/>
  <c r="K212"/>
  <c r="L212"/>
  <c r="M212"/>
  <c r="N212"/>
  <c r="O212"/>
  <c r="P212"/>
  <c r="Q212"/>
  <c r="B213"/>
  <c r="C213"/>
  <c r="D213"/>
  <c r="E213"/>
  <c r="F213"/>
  <c r="G213"/>
  <c r="H213"/>
  <c r="I213"/>
  <c r="J213"/>
  <c r="K213"/>
  <c r="L213"/>
  <c r="M213"/>
  <c r="N213"/>
  <c r="O213"/>
  <c r="P213"/>
  <c r="Q213"/>
  <c r="B214"/>
  <c r="C214"/>
  <c r="D214"/>
  <c r="E214"/>
  <c r="F214"/>
  <c r="G214"/>
  <c r="H214"/>
  <c r="I214"/>
  <c r="J214"/>
  <c r="K214"/>
  <c r="L214"/>
  <c r="M214"/>
  <c r="N214"/>
  <c r="O214"/>
  <c r="P214"/>
  <c r="Q214"/>
  <c r="B215"/>
  <c r="C215"/>
  <c r="D215"/>
  <c r="E215"/>
  <c r="F215"/>
  <c r="G215"/>
  <c r="H215"/>
  <c r="I215"/>
  <c r="J215"/>
  <c r="K215"/>
  <c r="L215"/>
  <c r="M215"/>
  <c r="N215"/>
  <c r="O215"/>
  <c r="P215"/>
  <c r="Q215"/>
  <c r="B216"/>
  <c r="C216"/>
  <c r="D216"/>
  <c r="E216"/>
  <c r="F216"/>
  <c r="G216"/>
  <c r="H216"/>
  <c r="I216"/>
  <c r="J216"/>
  <c r="K216"/>
  <c r="L216"/>
  <c r="M216"/>
  <c r="N216"/>
  <c r="O216"/>
  <c r="P216"/>
  <c r="Q216"/>
  <c r="B217"/>
  <c r="C217"/>
  <c r="D217"/>
  <c r="E217"/>
  <c r="F217"/>
  <c r="G217"/>
  <c r="H217"/>
  <c r="I217"/>
  <c r="J217"/>
  <c r="K217"/>
  <c r="L217"/>
  <c r="M217"/>
  <c r="N217"/>
  <c r="O217"/>
  <c r="P217"/>
  <c r="Q217"/>
  <c r="B218"/>
  <c r="C218"/>
  <c r="D218"/>
  <c r="E218"/>
  <c r="F218"/>
  <c r="G218"/>
  <c r="H218"/>
  <c r="I218"/>
  <c r="J218"/>
  <c r="K218"/>
  <c r="L218"/>
  <c r="M218"/>
  <c r="N218"/>
  <c r="O218"/>
  <c r="P218"/>
  <c r="Q218"/>
  <c r="B219"/>
  <c r="C219"/>
  <c r="D219"/>
  <c r="E219"/>
  <c r="F219"/>
  <c r="G219"/>
  <c r="H219"/>
  <c r="I219"/>
  <c r="J219"/>
  <c r="K219"/>
  <c r="L219"/>
  <c r="M219"/>
  <c r="N219"/>
  <c r="O219"/>
  <c r="P219"/>
  <c r="Q219"/>
  <c r="B220"/>
  <c r="C220"/>
  <c r="D220"/>
  <c r="E220"/>
  <c r="F220"/>
  <c r="G220"/>
  <c r="H220"/>
  <c r="I220"/>
  <c r="J220"/>
  <c r="K220"/>
  <c r="L220"/>
  <c r="M220"/>
  <c r="N220"/>
  <c r="O220"/>
  <c r="P220"/>
  <c r="Q220"/>
  <c r="B221"/>
  <c r="C221"/>
  <c r="D221"/>
  <c r="E221"/>
  <c r="F221"/>
  <c r="G221"/>
  <c r="H221"/>
  <c r="I221"/>
  <c r="J221"/>
  <c r="K221"/>
  <c r="L221"/>
  <c r="M221"/>
  <c r="N221"/>
  <c r="O221"/>
  <c r="P221"/>
  <c r="Q221"/>
  <c r="B222"/>
  <c r="C222"/>
  <c r="D222"/>
  <c r="E222"/>
  <c r="F222"/>
  <c r="G222"/>
  <c r="H222"/>
  <c r="I222"/>
  <c r="J222"/>
  <c r="K222"/>
  <c r="L222"/>
  <c r="M222"/>
  <c r="N222"/>
  <c r="O222"/>
  <c r="P222"/>
  <c r="Q222"/>
  <c r="B223"/>
  <c r="C223"/>
  <c r="D223"/>
  <c r="E223"/>
  <c r="F223"/>
  <c r="G223"/>
  <c r="H223"/>
  <c r="I223"/>
  <c r="J223"/>
  <c r="K223"/>
  <c r="L223"/>
  <c r="M223"/>
  <c r="N223"/>
  <c r="O223"/>
  <c r="P223"/>
  <c r="Q223"/>
  <c r="B224"/>
  <c r="C224"/>
  <c r="D224"/>
  <c r="E224"/>
  <c r="F224"/>
  <c r="G224"/>
  <c r="H224"/>
  <c r="I224"/>
  <c r="J224"/>
  <c r="K224"/>
  <c r="L224"/>
  <c r="M224"/>
  <c r="N224"/>
  <c r="O224"/>
  <c r="P224"/>
  <c r="Q224"/>
  <c r="B225"/>
  <c r="C225"/>
  <c r="D225"/>
  <c r="E225"/>
  <c r="F225"/>
  <c r="G225"/>
  <c r="H225"/>
  <c r="I225"/>
  <c r="J225"/>
  <c r="K225"/>
  <c r="L225"/>
  <c r="M225"/>
  <c r="N225"/>
  <c r="O225"/>
  <c r="P225"/>
  <c r="Q225"/>
  <c r="B226"/>
  <c r="C226"/>
  <c r="D226"/>
  <c r="E226"/>
  <c r="F226"/>
  <c r="G226"/>
  <c r="H226"/>
  <c r="I226"/>
  <c r="J226"/>
  <c r="K226"/>
  <c r="L226"/>
  <c r="M226"/>
  <c r="N226"/>
  <c r="O226"/>
  <c r="P226"/>
  <c r="Q226"/>
  <c r="B227"/>
  <c r="C227"/>
  <c r="D227"/>
  <c r="E227"/>
  <c r="F227"/>
  <c r="G227"/>
  <c r="H227"/>
  <c r="I227"/>
  <c r="J227"/>
  <c r="K227"/>
  <c r="L227"/>
  <c r="M227"/>
  <c r="N227"/>
  <c r="O227"/>
  <c r="P227"/>
  <c r="Q227"/>
  <c r="B228"/>
  <c r="C228"/>
  <c r="D228"/>
  <c r="E228"/>
  <c r="F228"/>
  <c r="G228"/>
  <c r="H228"/>
  <c r="I228"/>
  <c r="J228"/>
  <c r="K228"/>
  <c r="L228"/>
  <c r="M228"/>
  <c r="N228"/>
  <c r="O228"/>
  <c r="P228"/>
  <c r="Q228"/>
  <c r="B229"/>
  <c r="C229"/>
  <c r="D229"/>
  <c r="E229"/>
  <c r="F229"/>
  <c r="G229"/>
  <c r="H229"/>
  <c r="I229"/>
  <c r="J229"/>
  <c r="K229"/>
  <c r="L229"/>
  <c r="M229"/>
  <c r="N229"/>
  <c r="O229"/>
  <c r="P229"/>
  <c r="Q229"/>
  <c r="B230"/>
  <c r="C230"/>
  <c r="D230"/>
  <c r="E230"/>
  <c r="F230"/>
  <c r="G230"/>
  <c r="H230"/>
  <c r="I230"/>
  <c r="J230"/>
  <c r="K230"/>
  <c r="L230"/>
  <c r="M230"/>
  <c r="N230"/>
  <c r="O230"/>
  <c r="P230"/>
  <c r="Q230"/>
  <c r="B231"/>
  <c r="C231"/>
  <c r="D231"/>
  <c r="E231"/>
  <c r="F231"/>
  <c r="G231"/>
  <c r="H231"/>
  <c r="I231"/>
  <c r="J231"/>
  <c r="K231"/>
  <c r="L231"/>
  <c r="M231"/>
  <c r="N231"/>
  <c r="O231"/>
  <c r="P231"/>
  <c r="Q231"/>
  <c r="B232"/>
  <c r="C232"/>
  <c r="D232"/>
  <c r="E232"/>
  <c r="F232"/>
  <c r="G232"/>
  <c r="H232"/>
  <c r="I232"/>
  <c r="J232"/>
  <c r="K232"/>
  <c r="L232"/>
  <c r="M232"/>
  <c r="N232"/>
  <c r="O232"/>
  <c r="P232"/>
  <c r="Q232"/>
  <c r="B233"/>
  <c r="C233"/>
  <c r="D233"/>
  <c r="E233"/>
  <c r="F233"/>
  <c r="G233"/>
  <c r="H233"/>
  <c r="I233"/>
  <c r="J233"/>
  <c r="K233"/>
  <c r="L233"/>
  <c r="M233"/>
  <c r="N233"/>
  <c r="O233"/>
  <c r="P233"/>
  <c r="Q233"/>
  <c r="B234"/>
  <c r="C234"/>
  <c r="D234"/>
  <c r="E234"/>
  <c r="F234"/>
  <c r="G234"/>
  <c r="H234"/>
  <c r="I234"/>
  <c r="J234"/>
  <c r="K234"/>
  <c r="L234"/>
  <c r="M234"/>
  <c r="N234"/>
  <c r="O234"/>
  <c r="P234"/>
  <c r="Q234"/>
  <c r="B235"/>
  <c r="C235"/>
  <c r="D235"/>
  <c r="E235"/>
  <c r="F235"/>
  <c r="G235"/>
  <c r="H235"/>
  <c r="I235"/>
  <c r="J235"/>
  <c r="K235"/>
  <c r="L235"/>
  <c r="M235"/>
  <c r="N235"/>
  <c r="O235"/>
  <c r="P235"/>
  <c r="Q235"/>
  <c r="B236"/>
  <c r="C236"/>
  <c r="D236"/>
  <c r="E236"/>
  <c r="F236"/>
  <c r="G236"/>
  <c r="H236"/>
  <c r="I236"/>
  <c r="J236"/>
  <c r="K236"/>
  <c r="L236"/>
  <c r="M236"/>
  <c r="N236"/>
  <c r="O236"/>
  <c r="P236"/>
  <c r="Q236"/>
  <c r="B237"/>
  <c r="C237"/>
  <c r="D237"/>
  <c r="E237"/>
  <c r="F237"/>
  <c r="G237"/>
  <c r="H237"/>
  <c r="I237"/>
  <c r="J237"/>
  <c r="K237"/>
  <c r="L237"/>
  <c r="M237"/>
  <c r="N237"/>
  <c r="O237"/>
  <c r="P237"/>
  <c r="Q237"/>
  <c r="B238"/>
  <c r="C238"/>
  <c r="D238"/>
  <c r="E238"/>
  <c r="F238"/>
  <c r="G238"/>
  <c r="H238"/>
  <c r="I238"/>
  <c r="J238"/>
  <c r="K238"/>
  <c r="L238"/>
  <c r="M238"/>
  <c r="N238"/>
  <c r="O238"/>
  <c r="P238"/>
  <c r="Q238"/>
  <c r="B239"/>
  <c r="C239"/>
  <c r="D239"/>
  <c r="E239"/>
  <c r="F239"/>
  <c r="G239"/>
  <c r="H239"/>
  <c r="I239"/>
  <c r="J239"/>
  <c r="K239"/>
  <c r="L239"/>
  <c r="M239"/>
  <c r="N239"/>
  <c r="O239"/>
  <c r="P239"/>
  <c r="Q239"/>
  <c r="B240"/>
  <c r="C240"/>
  <c r="D240"/>
  <c r="E240"/>
  <c r="F240"/>
  <c r="G240"/>
  <c r="H240"/>
  <c r="I240"/>
  <c r="J240"/>
  <c r="K240"/>
  <c r="L240"/>
  <c r="M240"/>
  <c r="N240"/>
  <c r="O240"/>
  <c r="P240"/>
  <c r="Q240"/>
  <c r="B241"/>
  <c r="C241"/>
  <c r="D241"/>
  <c r="E241"/>
  <c r="F241"/>
  <c r="G241"/>
  <c r="H241"/>
  <c r="I241"/>
  <c r="J241"/>
  <c r="K241"/>
  <c r="L241"/>
  <c r="M241"/>
  <c r="N241"/>
  <c r="O241"/>
  <c r="P241"/>
  <c r="Q241"/>
  <c r="B242"/>
  <c r="C242"/>
  <c r="D242"/>
  <c r="E242"/>
  <c r="F242"/>
  <c r="G242"/>
  <c r="H242"/>
  <c r="I242"/>
  <c r="J242"/>
  <c r="K242"/>
  <c r="L242"/>
  <c r="M242"/>
  <c r="N242"/>
  <c r="O242"/>
  <c r="P242"/>
  <c r="Q242"/>
  <c r="B243"/>
  <c r="C243"/>
  <c r="D243"/>
  <c r="E243"/>
  <c r="F243"/>
  <c r="G243"/>
  <c r="H243"/>
  <c r="I243"/>
  <c r="J243"/>
  <c r="K243"/>
  <c r="L243"/>
  <c r="M243"/>
  <c r="N243"/>
  <c r="O243"/>
  <c r="P243"/>
  <c r="Q243"/>
  <c r="B244"/>
  <c r="C244"/>
  <c r="D244"/>
  <c r="E244"/>
  <c r="F244"/>
  <c r="G244"/>
  <c r="H244"/>
  <c r="I244"/>
  <c r="J244"/>
  <c r="K244"/>
  <c r="L244"/>
  <c r="M244"/>
  <c r="N244"/>
  <c r="O244"/>
  <c r="P244"/>
  <c r="Q244"/>
  <c r="B245"/>
  <c r="C245"/>
  <c r="D245"/>
  <c r="E245"/>
  <c r="F245"/>
  <c r="G245"/>
  <c r="H245"/>
  <c r="I245"/>
  <c r="J245"/>
  <c r="K245"/>
  <c r="L245"/>
  <c r="M245"/>
  <c r="N245"/>
  <c r="O245"/>
  <c r="P245"/>
  <c r="Q245"/>
  <c r="B246"/>
  <c r="C246"/>
  <c r="D246"/>
  <c r="E246"/>
  <c r="F246"/>
  <c r="G246"/>
  <c r="H246"/>
  <c r="I246"/>
  <c r="J246"/>
  <c r="K246"/>
  <c r="L246"/>
  <c r="M246"/>
  <c r="N246"/>
  <c r="O246"/>
  <c r="P246"/>
  <c r="Q246"/>
  <c r="B247"/>
  <c r="C247"/>
  <c r="D247"/>
  <c r="E247"/>
  <c r="F247"/>
  <c r="G247"/>
  <c r="H247"/>
  <c r="I247"/>
  <c r="J247"/>
  <c r="K247"/>
  <c r="L247"/>
  <c r="M247"/>
  <c r="N247"/>
  <c r="O247"/>
  <c r="P247"/>
  <c r="Q247"/>
  <c r="B248"/>
  <c r="C248"/>
  <c r="D248"/>
  <c r="E248"/>
  <c r="F248"/>
  <c r="G248"/>
  <c r="H248"/>
  <c r="I248"/>
  <c r="J248"/>
  <c r="K248"/>
  <c r="L248"/>
  <c r="M248"/>
  <c r="N248"/>
  <c r="O248"/>
  <c r="P248"/>
  <c r="Q248"/>
  <c r="B249"/>
  <c r="C249"/>
  <c r="D249"/>
  <c r="E249"/>
  <c r="F249"/>
  <c r="G249"/>
  <c r="H249"/>
  <c r="I249"/>
  <c r="J249"/>
  <c r="K249"/>
  <c r="L249"/>
  <c r="M249"/>
  <c r="N249"/>
  <c r="O249"/>
  <c r="P249"/>
  <c r="Q249"/>
  <c r="B250"/>
  <c r="C250"/>
  <c r="D250"/>
  <c r="E250"/>
  <c r="F250"/>
  <c r="G250"/>
  <c r="H250"/>
  <c r="I250"/>
  <c r="J250"/>
  <c r="K250"/>
  <c r="L250"/>
  <c r="M250"/>
  <c r="N250"/>
  <c r="O250"/>
  <c r="P250"/>
  <c r="Q250"/>
  <c r="B251"/>
  <c r="C251"/>
  <c r="D251"/>
  <c r="E251"/>
  <c r="F251"/>
  <c r="G251"/>
  <c r="H251"/>
  <c r="I251"/>
  <c r="J251"/>
  <c r="K251"/>
  <c r="L251"/>
  <c r="M251"/>
  <c r="N251"/>
  <c r="O251"/>
  <c r="P251"/>
  <c r="Q251"/>
  <c r="B252"/>
  <c r="C252"/>
  <c r="D252"/>
  <c r="E252"/>
  <c r="F252"/>
  <c r="G252"/>
  <c r="H252"/>
  <c r="I252"/>
  <c r="J252"/>
  <c r="K252"/>
  <c r="L252"/>
  <c r="M252"/>
  <c r="N252"/>
  <c r="O252"/>
  <c r="P252"/>
  <c r="Q252"/>
  <c r="B253"/>
  <c r="C253"/>
  <c r="D253"/>
  <c r="E253"/>
  <c r="F253"/>
  <c r="G253"/>
  <c r="H253"/>
  <c r="I253"/>
  <c r="J253"/>
  <c r="K253"/>
  <c r="L253"/>
  <c r="M253"/>
  <c r="N253"/>
  <c r="O253"/>
  <c r="P253"/>
  <c r="Q253"/>
  <c r="B254"/>
  <c r="C254"/>
  <c r="D254"/>
  <c r="E254"/>
  <c r="F254"/>
  <c r="G254"/>
  <c r="H254"/>
  <c r="I254"/>
  <c r="J254"/>
  <c r="K254"/>
  <c r="L254"/>
  <c r="M254"/>
  <c r="N254"/>
  <c r="O254"/>
  <c r="P254"/>
  <c r="Q254"/>
  <c r="B255"/>
  <c r="C255"/>
  <c r="D255"/>
  <c r="E255"/>
  <c r="F255"/>
  <c r="G255"/>
  <c r="H255"/>
  <c r="I255"/>
  <c r="J255"/>
  <c r="K255"/>
  <c r="L255"/>
  <c r="M255"/>
  <c r="N255"/>
  <c r="O255"/>
  <c r="P255"/>
  <c r="Q255"/>
  <c r="B256"/>
  <c r="C256"/>
  <c r="D256"/>
  <c r="E256"/>
  <c r="F256"/>
  <c r="G256"/>
  <c r="H256"/>
  <c r="I256"/>
  <c r="J256"/>
  <c r="K256"/>
  <c r="L256"/>
  <c r="M256"/>
  <c r="N256"/>
  <c r="O256"/>
  <c r="P256"/>
  <c r="Q256"/>
  <c r="AK3" i="25"/>
  <c r="AL3"/>
  <c r="AM3"/>
  <c r="AN3"/>
  <c r="CB3"/>
  <c r="CC3"/>
  <c r="CD3"/>
  <c r="CE3"/>
  <c r="CF3"/>
  <c r="CG3"/>
  <c r="CH3"/>
  <c r="CI3"/>
  <c r="CJ3"/>
  <c r="CK3"/>
  <c r="CL3"/>
  <c r="CM3"/>
  <c r="CN3"/>
  <c r="CO3"/>
  <c r="CP3"/>
  <c r="CQ3"/>
  <c r="B4"/>
  <c r="CU3" s="1"/>
  <c r="C4"/>
  <c r="CV3" s="1"/>
  <c r="D4"/>
  <c r="CW3" s="1"/>
  <c r="E4"/>
  <c r="CX3" s="1"/>
  <c r="F4"/>
  <c r="CY3" s="1"/>
  <c r="G4"/>
  <c r="CZ3" s="1"/>
  <c r="H4"/>
  <c r="DA3" s="1"/>
  <c r="I4"/>
  <c r="DB3" s="1"/>
  <c r="J4"/>
  <c r="DC3" s="1"/>
  <c r="K4"/>
  <c r="DD3" s="1"/>
  <c r="L4"/>
  <c r="DE3" s="1"/>
  <c r="M4"/>
  <c r="DF3" s="1"/>
  <c r="N4"/>
  <c r="DG3" s="1"/>
  <c r="O4"/>
  <c r="DH3" s="1"/>
  <c r="P4"/>
  <c r="DI3" s="1"/>
  <c r="Q4"/>
  <c r="DJ3" s="1"/>
  <c r="BK4"/>
  <c r="CB4" s="1"/>
  <c r="BL4"/>
  <c r="CC4" s="1"/>
  <c r="BM4"/>
  <c r="CD4" s="1"/>
  <c r="BN4"/>
  <c r="CE4" s="1"/>
  <c r="BO4"/>
  <c r="CF4" s="1"/>
  <c r="BP4"/>
  <c r="CG4" s="1"/>
  <c r="BQ4"/>
  <c r="CH4" s="1"/>
  <c r="BR4"/>
  <c r="CI4" s="1"/>
  <c r="BS4"/>
  <c r="CJ4" s="1"/>
  <c r="BT4"/>
  <c r="CK4" s="1"/>
  <c r="BU4"/>
  <c r="CL4" s="1"/>
  <c r="BV4"/>
  <c r="CM4" s="1"/>
  <c r="BW4"/>
  <c r="CN4" s="1"/>
  <c r="BX4"/>
  <c r="CO4" s="1"/>
  <c r="BY4"/>
  <c r="CP4" s="1"/>
  <c r="BZ4"/>
  <c r="CQ4" s="1"/>
  <c r="B5"/>
  <c r="C5"/>
  <c r="D5"/>
  <c r="E5"/>
  <c r="F5"/>
  <c r="G5"/>
  <c r="H5"/>
  <c r="I5"/>
  <c r="J5"/>
  <c r="K5"/>
  <c r="L5"/>
  <c r="M5"/>
  <c r="N5"/>
  <c r="O5"/>
  <c r="P5"/>
  <c r="Q5"/>
  <c r="B6"/>
  <c r="C6"/>
  <c r="D6"/>
  <c r="E6"/>
  <c r="F6"/>
  <c r="G6"/>
  <c r="H6"/>
  <c r="I6"/>
  <c r="J6"/>
  <c r="K6"/>
  <c r="L6"/>
  <c r="M6"/>
  <c r="N6"/>
  <c r="O6"/>
  <c r="P6"/>
  <c r="Q6"/>
  <c r="B7"/>
  <c r="C7"/>
  <c r="D7"/>
  <c r="E7"/>
  <c r="F7"/>
  <c r="G7"/>
  <c r="H7"/>
  <c r="I7"/>
  <c r="J7"/>
  <c r="K7"/>
  <c r="L7"/>
  <c r="M7"/>
  <c r="N7"/>
  <c r="O7"/>
  <c r="P7"/>
  <c r="Q7"/>
  <c r="AB7"/>
  <c r="BS7" s="1"/>
  <c r="B8"/>
  <c r="C8"/>
  <c r="D8"/>
  <c r="E8"/>
  <c r="F8"/>
  <c r="G8"/>
  <c r="H8"/>
  <c r="I8"/>
  <c r="J8"/>
  <c r="K8"/>
  <c r="L8"/>
  <c r="M8"/>
  <c r="N8"/>
  <c r="O8"/>
  <c r="P8"/>
  <c r="Q8"/>
  <c r="B9"/>
  <c r="C9"/>
  <c r="D9"/>
  <c r="E9"/>
  <c r="F9"/>
  <c r="G9"/>
  <c r="H9"/>
  <c r="I9"/>
  <c r="J9"/>
  <c r="K9"/>
  <c r="L9"/>
  <c r="M9"/>
  <c r="N9"/>
  <c r="O9"/>
  <c r="P9"/>
  <c r="Q9"/>
  <c r="B10"/>
  <c r="C10"/>
  <c r="D10"/>
  <c r="E10"/>
  <c r="F10"/>
  <c r="G10"/>
  <c r="H10"/>
  <c r="I10"/>
  <c r="J10"/>
  <c r="K10"/>
  <c r="L10"/>
  <c r="M10"/>
  <c r="N10"/>
  <c r="O10"/>
  <c r="P10"/>
  <c r="Q10"/>
  <c r="CT10"/>
  <c r="B11"/>
  <c r="C11"/>
  <c r="D11"/>
  <c r="E11"/>
  <c r="F11"/>
  <c r="G11"/>
  <c r="H11"/>
  <c r="I11"/>
  <c r="J11"/>
  <c r="K11"/>
  <c r="L11"/>
  <c r="M11"/>
  <c r="N11"/>
  <c r="O11"/>
  <c r="P11"/>
  <c r="Q11"/>
  <c r="B12"/>
  <c r="C12"/>
  <c r="D12"/>
  <c r="E12"/>
  <c r="F12"/>
  <c r="G12"/>
  <c r="H12"/>
  <c r="I12"/>
  <c r="J12"/>
  <c r="K12"/>
  <c r="L12"/>
  <c r="M12"/>
  <c r="N12"/>
  <c r="O12"/>
  <c r="P12"/>
  <c r="Q12"/>
  <c r="B13"/>
  <c r="B12" i="32" s="1"/>
  <c r="C13" i="25"/>
  <c r="B13" i="32" s="1"/>
  <c r="D13" i="25"/>
  <c r="B14" i="32" s="1"/>
  <c r="E13" i="25"/>
  <c r="B15" i="32" s="1"/>
  <c r="F13" i="25"/>
  <c r="B16" i="32" s="1"/>
  <c r="G13" i="25"/>
  <c r="B17" i="32" s="1"/>
  <c r="H13" i="25"/>
  <c r="B18" i="32" s="1"/>
  <c r="I13" i="25"/>
  <c r="B19" i="32" s="1"/>
  <c r="J13" i="25"/>
  <c r="B20" i="32" s="1"/>
  <c r="K13" i="25"/>
  <c r="B21" i="32" s="1"/>
  <c r="L13" i="25"/>
  <c r="B22" i="32" s="1"/>
  <c r="M13" i="25"/>
  <c r="B23" i="32" s="1"/>
  <c r="N13" i="25"/>
  <c r="B24" i="32" s="1"/>
  <c r="O13" i="25"/>
  <c r="B25" i="32" s="1"/>
  <c r="P13" i="25"/>
  <c r="B26" i="32" s="1"/>
  <c r="Q13" i="25"/>
  <c r="B27" i="32" s="1"/>
  <c r="X13" i="25"/>
  <c r="BO13" s="1"/>
  <c r="B14"/>
  <c r="C14"/>
  <c r="D14"/>
  <c r="E14"/>
  <c r="F14"/>
  <c r="G14"/>
  <c r="H14"/>
  <c r="I14"/>
  <c r="J14"/>
  <c r="K14"/>
  <c r="L14"/>
  <c r="M14"/>
  <c r="N14"/>
  <c r="O14"/>
  <c r="P14"/>
  <c r="Q14"/>
  <c r="B15"/>
  <c r="C15"/>
  <c r="D15"/>
  <c r="E15"/>
  <c r="F15"/>
  <c r="G15"/>
  <c r="H15"/>
  <c r="I15"/>
  <c r="J15"/>
  <c r="K15"/>
  <c r="L15"/>
  <c r="M15"/>
  <c r="N15"/>
  <c r="O15"/>
  <c r="P15"/>
  <c r="Q15"/>
  <c r="B16"/>
  <c r="C16"/>
  <c r="D16"/>
  <c r="E16"/>
  <c r="F16"/>
  <c r="G16"/>
  <c r="H16"/>
  <c r="I16"/>
  <c r="J16"/>
  <c r="K16"/>
  <c r="L16"/>
  <c r="M16"/>
  <c r="N16"/>
  <c r="O16"/>
  <c r="P16"/>
  <c r="Q16"/>
  <c r="AF16"/>
  <c r="BW16" s="1"/>
  <c r="B17"/>
  <c r="C17"/>
  <c r="D17"/>
  <c r="E17"/>
  <c r="F17"/>
  <c r="G17"/>
  <c r="H17"/>
  <c r="I17"/>
  <c r="J17"/>
  <c r="K17"/>
  <c r="L17"/>
  <c r="M17"/>
  <c r="N17"/>
  <c r="O17"/>
  <c r="P17"/>
  <c r="Q17"/>
  <c r="B18"/>
  <c r="C18"/>
  <c r="D18"/>
  <c r="E18"/>
  <c r="F18"/>
  <c r="G18"/>
  <c r="H18"/>
  <c r="I18"/>
  <c r="J18"/>
  <c r="K18"/>
  <c r="L18"/>
  <c r="M18"/>
  <c r="N18"/>
  <c r="O18"/>
  <c r="P18"/>
  <c r="Q18"/>
  <c r="B19"/>
  <c r="C19"/>
  <c r="D19"/>
  <c r="E19"/>
  <c r="F19"/>
  <c r="G19"/>
  <c r="H19"/>
  <c r="I19"/>
  <c r="J19"/>
  <c r="K19"/>
  <c r="L19"/>
  <c r="M19"/>
  <c r="N19"/>
  <c r="O19"/>
  <c r="P19"/>
  <c r="Q19"/>
  <c r="B20"/>
  <c r="C20"/>
  <c r="D20"/>
  <c r="E20"/>
  <c r="F20"/>
  <c r="G20"/>
  <c r="H20"/>
  <c r="I20"/>
  <c r="J20"/>
  <c r="K20"/>
  <c r="L20"/>
  <c r="M20"/>
  <c r="N20"/>
  <c r="O20"/>
  <c r="P20"/>
  <c r="Q20"/>
  <c r="B21"/>
  <c r="C21"/>
  <c r="D21"/>
  <c r="E21"/>
  <c r="F21"/>
  <c r="G21"/>
  <c r="H21"/>
  <c r="I21"/>
  <c r="J21"/>
  <c r="K21"/>
  <c r="L21"/>
  <c r="M21"/>
  <c r="N21"/>
  <c r="O21"/>
  <c r="P21"/>
  <c r="Q21"/>
  <c r="T21"/>
  <c r="BK21" s="1"/>
  <c r="AC21"/>
  <c r="BT21" s="1"/>
  <c r="B22"/>
  <c r="C22"/>
  <c r="D22"/>
  <c r="E22"/>
  <c r="F22"/>
  <c r="G22"/>
  <c r="H22"/>
  <c r="I22"/>
  <c r="J22"/>
  <c r="K22"/>
  <c r="L22"/>
  <c r="M22"/>
  <c r="N22"/>
  <c r="O22"/>
  <c r="P22"/>
  <c r="Q22"/>
  <c r="B23"/>
  <c r="C23"/>
  <c r="D23"/>
  <c r="E23"/>
  <c r="F23"/>
  <c r="X24" s="1"/>
  <c r="BO24" s="1"/>
  <c r="G23"/>
  <c r="H23"/>
  <c r="I23"/>
  <c r="J23"/>
  <c r="AB24" s="1"/>
  <c r="BS24" s="1"/>
  <c r="K23"/>
  <c r="L23"/>
  <c r="M23"/>
  <c r="AE23" s="1"/>
  <c r="BV23" s="1"/>
  <c r="N23"/>
  <c r="O23"/>
  <c r="P23"/>
  <c r="Q23"/>
  <c r="W23"/>
  <c r="BN23" s="1"/>
  <c r="B24"/>
  <c r="C24"/>
  <c r="D24"/>
  <c r="E24"/>
  <c r="F24"/>
  <c r="G24"/>
  <c r="H24"/>
  <c r="I24"/>
  <c r="J24"/>
  <c r="K24"/>
  <c r="L24"/>
  <c r="M24"/>
  <c r="N24"/>
  <c r="O24"/>
  <c r="P24"/>
  <c r="Q24"/>
  <c r="B25"/>
  <c r="C25"/>
  <c r="D25"/>
  <c r="V25" s="1"/>
  <c r="BM25" s="1"/>
  <c r="E25"/>
  <c r="F25"/>
  <c r="X25" s="1"/>
  <c r="BO25" s="1"/>
  <c r="G25"/>
  <c r="H25"/>
  <c r="I25"/>
  <c r="J25"/>
  <c r="AB25" s="1"/>
  <c r="BS25" s="1"/>
  <c r="K25"/>
  <c r="L25"/>
  <c r="M25"/>
  <c r="N25"/>
  <c r="O25"/>
  <c r="P25"/>
  <c r="Q25"/>
  <c r="B26"/>
  <c r="C26"/>
  <c r="D26"/>
  <c r="E26"/>
  <c r="F26"/>
  <c r="G26"/>
  <c r="H26"/>
  <c r="I26"/>
  <c r="J26"/>
  <c r="K26"/>
  <c r="L26"/>
  <c r="M26"/>
  <c r="N26"/>
  <c r="O26"/>
  <c r="P26"/>
  <c r="Q26"/>
  <c r="B27"/>
  <c r="C27"/>
  <c r="D27"/>
  <c r="E27"/>
  <c r="F27"/>
  <c r="G27"/>
  <c r="H27"/>
  <c r="I27"/>
  <c r="J27"/>
  <c r="K27"/>
  <c r="L27"/>
  <c r="M27"/>
  <c r="N27"/>
  <c r="O27"/>
  <c r="P27"/>
  <c r="Q27"/>
  <c r="B28"/>
  <c r="C28"/>
  <c r="D28"/>
  <c r="E28"/>
  <c r="F28"/>
  <c r="G28"/>
  <c r="H28"/>
  <c r="I28"/>
  <c r="J28"/>
  <c r="K28"/>
  <c r="L28"/>
  <c r="M28"/>
  <c r="N28"/>
  <c r="O28"/>
  <c r="P28"/>
  <c r="Q28"/>
  <c r="B29"/>
  <c r="C29"/>
  <c r="D29"/>
  <c r="E29"/>
  <c r="F29"/>
  <c r="X29" s="1"/>
  <c r="BO29" s="1"/>
  <c r="G29"/>
  <c r="H29"/>
  <c r="Z29" s="1"/>
  <c r="BQ29" s="1"/>
  <c r="I29"/>
  <c r="J29"/>
  <c r="K29"/>
  <c r="L29"/>
  <c r="M29"/>
  <c r="N29"/>
  <c r="AF29" s="1"/>
  <c r="BW29" s="1"/>
  <c r="O29"/>
  <c r="P29"/>
  <c r="AH29" s="1"/>
  <c r="BY29" s="1"/>
  <c r="Q29"/>
  <c r="V29"/>
  <c r="BM29" s="1"/>
  <c r="B30"/>
  <c r="C30"/>
  <c r="D30"/>
  <c r="E30"/>
  <c r="F30"/>
  <c r="G30"/>
  <c r="H30"/>
  <c r="I30"/>
  <c r="J30"/>
  <c r="K30"/>
  <c r="L30"/>
  <c r="M30"/>
  <c r="N30"/>
  <c r="O30"/>
  <c r="P30"/>
  <c r="Q30"/>
  <c r="B31"/>
  <c r="C31"/>
  <c r="D31"/>
  <c r="E31"/>
  <c r="F31"/>
  <c r="G31"/>
  <c r="H31"/>
  <c r="I31"/>
  <c r="AA31" s="1"/>
  <c r="BR31" s="1"/>
  <c r="J31"/>
  <c r="K31"/>
  <c r="L31"/>
  <c r="M31"/>
  <c r="N31"/>
  <c r="O31"/>
  <c r="P31"/>
  <c r="Q31"/>
  <c r="B32"/>
  <c r="C32"/>
  <c r="D32"/>
  <c r="E32"/>
  <c r="F32"/>
  <c r="G32"/>
  <c r="H32"/>
  <c r="I32"/>
  <c r="J32"/>
  <c r="K32"/>
  <c r="L32"/>
  <c r="M32"/>
  <c r="N32"/>
  <c r="O32"/>
  <c r="P32"/>
  <c r="Q32"/>
  <c r="B33"/>
  <c r="T33" s="1"/>
  <c r="BK33" s="1"/>
  <c r="C33"/>
  <c r="D33"/>
  <c r="E33"/>
  <c r="F33"/>
  <c r="X33" s="1"/>
  <c r="BO33" s="1"/>
  <c r="G33"/>
  <c r="H33"/>
  <c r="Z33" s="1"/>
  <c r="BQ33" s="1"/>
  <c r="I33"/>
  <c r="J33"/>
  <c r="K33"/>
  <c r="L33"/>
  <c r="M33"/>
  <c r="N33"/>
  <c r="O33"/>
  <c r="P33"/>
  <c r="Q33"/>
  <c r="B34"/>
  <c r="C34"/>
  <c r="D34"/>
  <c r="E34"/>
  <c r="F34"/>
  <c r="G34"/>
  <c r="H34"/>
  <c r="I34"/>
  <c r="AA34" s="1"/>
  <c r="BR34" s="1"/>
  <c r="J34"/>
  <c r="K34"/>
  <c r="L34"/>
  <c r="M34"/>
  <c r="N34"/>
  <c r="O34"/>
  <c r="P34"/>
  <c r="Q34"/>
  <c r="B35"/>
  <c r="C35"/>
  <c r="D35"/>
  <c r="E35"/>
  <c r="F35"/>
  <c r="G35"/>
  <c r="H35"/>
  <c r="I35"/>
  <c r="J35"/>
  <c r="K35"/>
  <c r="L35"/>
  <c r="M35"/>
  <c r="N35"/>
  <c r="O35"/>
  <c r="P35"/>
  <c r="Q35"/>
  <c r="B36"/>
  <c r="C36"/>
  <c r="D36"/>
  <c r="E36"/>
  <c r="F36"/>
  <c r="G36"/>
  <c r="H36"/>
  <c r="I36"/>
  <c r="J36"/>
  <c r="K36"/>
  <c r="L36"/>
  <c r="M36"/>
  <c r="N36"/>
  <c r="O36"/>
  <c r="P36"/>
  <c r="Q36"/>
  <c r="B37"/>
  <c r="C37"/>
  <c r="D37"/>
  <c r="E37"/>
  <c r="F37"/>
  <c r="G37"/>
  <c r="H37"/>
  <c r="I37"/>
  <c r="J37"/>
  <c r="K37"/>
  <c r="L37"/>
  <c r="M37"/>
  <c r="N37"/>
  <c r="O37"/>
  <c r="P37"/>
  <c r="Q37"/>
  <c r="B38"/>
  <c r="C38"/>
  <c r="D38"/>
  <c r="E38"/>
  <c r="F38"/>
  <c r="G38"/>
  <c r="H38"/>
  <c r="I38"/>
  <c r="J38"/>
  <c r="AB38" s="1"/>
  <c r="BS38" s="1"/>
  <c r="K38"/>
  <c r="L38"/>
  <c r="M38"/>
  <c r="N38"/>
  <c r="O38"/>
  <c r="P38"/>
  <c r="Q38"/>
  <c r="B39"/>
  <c r="T39" s="1"/>
  <c r="BK39" s="1"/>
  <c r="C39"/>
  <c r="D39"/>
  <c r="E39"/>
  <c r="F39"/>
  <c r="G39"/>
  <c r="H39"/>
  <c r="I39"/>
  <c r="J39"/>
  <c r="K39"/>
  <c r="L39"/>
  <c r="M39"/>
  <c r="N39"/>
  <c r="O39"/>
  <c r="P39"/>
  <c r="Q39"/>
  <c r="AI39" s="1"/>
  <c r="BZ39" s="1"/>
  <c r="B40"/>
  <c r="C40"/>
  <c r="D40"/>
  <c r="E40"/>
  <c r="W40" s="1"/>
  <c r="BN40" s="1"/>
  <c r="F40"/>
  <c r="G40"/>
  <c r="H40"/>
  <c r="I40"/>
  <c r="J40"/>
  <c r="K40"/>
  <c r="L40"/>
  <c r="M40"/>
  <c r="N40"/>
  <c r="O40"/>
  <c r="AG40" s="1"/>
  <c r="BX40" s="1"/>
  <c r="P40"/>
  <c r="Q40"/>
  <c r="AI40" s="1"/>
  <c r="BZ40" s="1"/>
  <c r="B41"/>
  <c r="C41"/>
  <c r="D41"/>
  <c r="E41"/>
  <c r="F41"/>
  <c r="G41"/>
  <c r="H41"/>
  <c r="I41"/>
  <c r="J41"/>
  <c r="K41"/>
  <c r="L41"/>
  <c r="M41"/>
  <c r="N41"/>
  <c r="O41"/>
  <c r="P41"/>
  <c r="AH41" s="1"/>
  <c r="BY41" s="1"/>
  <c r="Q41"/>
  <c r="T41"/>
  <c r="BK41" s="1"/>
  <c r="B42"/>
  <c r="C42"/>
  <c r="D42"/>
  <c r="E42"/>
  <c r="F42"/>
  <c r="G42"/>
  <c r="H42"/>
  <c r="I42"/>
  <c r="J42"/>
  <c r="K42"/>
  <c r="L42"/>
  <c r="M42"/>
  <c r="N42"/>
  <c r="O42"/>
  <c r="P42"/>
  <c r="Q42"/>
  <c r="B43"/>
  <c r="C43"/>
  <c r="D43"/>
  <c r="E43"/>
  <c r="F43"/>
  <c r="G43"/>
  <c r="H43"/>
  <c r="I43"/>
  <c r="J43"/>
  <c r="K43"/>
  <c r="L43"/>
  <c r="M43"/>
  <c r="N43"/>
  <c r="O43"/>
  <c r="P43"/>
  <c r="Q43"/>
  <c r="T43"/>
  <c r="BK43" s="1"/>
  <c r="B44"/>
  <c r="C44"/>
  <c r="D44"/>
  <c r="E44"/>
  <c r="F44"/>
  <c r="G44"/>
  <c r="H44"/>
  <c r="I44"/>
  <c r="J44"/>
  <c r="K44"/>
  <c r="L44"/>
  <c r="M44"/>
  <c r="N44"/>
  <c r="O44"/>
  <c r="P44"/>
  <c r="Q44"/>
  <c r="B45"/>
  <c r="C45"/>
  <c r="D45"/>
  <c r="E45"/>
  <c r="F45"/>
  <c r="G45"/>
  <c r="H45"/>
  <c r="Z45" s="1"/>
  <c r="BQ45" s="1"/>
  <c r="I45"/>
  <c r="J45"/>
  <c r="AB45" s="1"/>
  <c r="BS45" s="1"/>
  <c r="K45"/>
  <c r="L45"/>
  <c r="M45"/>
  <c r="N45"/>
  <c r="O45"/>
  <c r="P45"/>
  <c r="Q45"/>
  <c r="T45"/>
  <c r="BK45" s="1"/>
  <c r="Y45"/>
  <c r="BP45" s="1"/>
  <c r="AH45"/>
  <c r="BY45" s="1"/>
  <c r="B46"/>
  <c r="C46"/>
  <c r="D46"/>
  <c r="E46"/>
  <c r="F46"/>
  <c r="G46"/>
  <c r="H46"/>
  <c r="I46"/>
  <c r="J46"/>
  <c r="K46"/>
  <c r="L46"/>
  <c r="M46"/>
  <c r="N46"/>
  <c r="O46"/>
  <c r="P46"/>
  <c r="Q46"/>
  <c r="B47"/>
  <c r="C47"/>
  <c r="D47"/>
  <c r="E47"/>
  <c r="F47"/>
  <c r="G47"/>
  <c r="H47"/>
  <c r="I47"/>
  <c r="J47"/>
  <c r="K47"/>
  <c r="L47"/>
  <c r="M47"/>
  <c r="N47"/>
  <c r="O47"/>
  <c r="P47"/>
  <c r="Q47"/>
  <c r="B48"/>
  <c r="C48"/>
  <c r="D48"/>
  <c r="E48"/>
  <c r="F48"/>
  <c r="G48"/>
  <c r="H48"/>
  <c r="I48"/>
  <c r="J48"/>
  <c r="K48"/>
  <c r="L48"/>
  <c r="M48"/>
  <c r="N48"/>
  <c r="O48"/>
  <c r="P48"/>
  <c r="Q48"/>
  <c r="B49"/>
  <c r="C49"/>
  <c r="D49"/>
  <c r="E49"/>
  <c r="F49"/>
  <c r="G49"/>
  <c r="Y49" s="1"/>
  <c r="BP49" s="1"/>
  <c r="H49"/>
  <c r="I49"/>
  <c r="J49"/>
  <c r="K49"/>
  <c r="AC49" s="1"/>
  <c r="BT49" s="1"/>
  <c r="L49"/>
  <c r="M49"/>
  <c r="AE49" s="1"/>
  <c r="BV49" s="1"/>
  <c r="N49"/>
  <c r="O49"/>
  <c r="P49"/>
  <c r="Q49"/>
  <c r="B50"/>
  <c r="C50"/>
  <c r="U50" s="1"/>
  <c r="BL50" s="1"/>
  <c r="D50"/>
  <c r="E50"/>
  <c r="W50" s="1"/>
  <c r="BN50" s="1"/>
  <c r="F50"/>
  <c r="G50"/>
  <c r="H50"/>
  <c r="I50"/>
  <c r="J50"/>
  <c r="K50"/>
  <c r="L50"/>
  <c r="M50"/>
  <c r="N50"/>
  <c r="O50"/>
  <c r="P50"/>
  <c r="Q50"/>
  <c r="B51"/>
  <c r="C51"/>
  <c r="D51"/>
  <c r="E51"/>
  <c r="F51"/>
  <c r="G51"/>
  <c r="H51"/>
  <c r="I51"/>
  <c r="J51"/>
  <c r="K51"/>
  <c r="L51"/>
  <c r="M51"/>
  <c r="N51"/>
  <c r="O51"/>
  <c r="P51"/>
  <c r="Q51"/>
  <c r="B52"/>
  <c r="C52"/>
  <c r="D52"/>
  <c r="E52"/>
  <c r="F52"/>
  <c r="G52"/>
  <c r="H52"/>
  <c r="I52"/>
  <c r="J52"/>
  <c r="K52"/>
  <c r="L52"/>
  <c r="M52"/>
  <c r="N52"/>
  <c r="O52"/>
  <c r="P52"/>
  <c r="Q52"/>
  <c r="B53"/>
  <c r="C53"/>
  <c r="D53"/>
  <c r="E53"/>
  <c r="F53"/>
  <c r="G53"/>
  <c r="H53"/>
  <c r="I53"/>
  <c r="J53"/>
  <c r="K53"/>
  <c r="L53"/>
  <c r="M53"/>
  <c r="N53"/>
  <c r="O53"/>
  <c r="P53"/>
  <c r="Q53"/>
  <c r="B54"/>
  <c r="C54"/>
  <c r="D54"/>
  <c r="E54"/>
  <c r="F54"/>
  <c r="G54"/>
  <c r="H54"/>
  <c r="I54"/>
  <c r="J54"/>
  <c r="K54"/>
  <c r="L54"/>
  <c r="M54"/>
  <c r="N54"/>
  <c r="O54"/>
  <c r="P54"/>
  <c r="Q54"/>
  <c r="AB54"/>
  <c r="BS54" s="1"/>
  <c r="B55"/>
  <c r="C55"/>
  <c r="D55"/>
  <c r="E55"/>
  <c r="F55"/>
  <c r="G55"/>
  <c r="H55"/>
  <c r="I55"/>
  <c r="J55"/>
  <c r="K55"/>
  <c r="L55"/>
  <c r="M55"/>
  <c r="N55"/>
  <c r="O55"/>
  <c r="P55"/>
  <c r="Q55"/>
  <c r="B56"/>
  <c r="C56"/>
  <c r="D56"/>
  <c r="E56"/>
  <c r="F56"/>
  <c r="G56"/>
  <c r="H56"/>
  <c r="I56"/>
  <c r="J56"/>
  <c r="K56"/>
  <c r="L56"/>
  <c r="M56"/>
  <c r="N56"/>
  <c r="O56"/>
  <c r="P56"/>
  <c r="Q56"/>
  <c r="B57"/>
  <c r="C57"/>
  <c r="D57"/>
  <c r="E57"/>
  <c r="F57"/>
  <c r="G57"/>
  <c r="H57"/>
  <c r="I57"/>
  <c r="J57"/>
  <c r="K57"/>
  <c r="L57"/>
  <c r="M57"/>
  <c r="N57"/>
  <c r="O57"/>
  <c r="P57"/>
  <c r="AH57" s="1"/>
  <c r="BY57" s="1"/>
  <c r="Q57"/>
  <c r="B58"/>
  <c r="C58"/>
  <c r="D58"/>
  <c r="E58"/>
  <c r="F58"/>
  <c r="G58"/>
  <c r="H58"/>
  <c r="I58"/>
  <c r="J58"/>
  <c r="K58"/>
  <c r="L58"/>
  <c r="M58"/>
  <c r="N58"/>
  <c r="O58"/>
  <c r="P58"/>
  <c r="Q58"/>
  <c r="B59"/>
  <c r="C59"/>
  <c r="D59"/>
  <c r="E59"/>
  <c r="F59"/>
  <c r="G59"/>
  <c r="H59"/>
  <c r="I59"/>
  <c r="AA59" s="1"/>
  <c r="BR59" s="1"/>
  <c r="J59"/>
  <c r="K59"/>
  <c r="L59"/>
  <c r="M59"/>
  <c r="N59"/>
  <c r="O59"/>
  <c r="P59"/>
  <c r="Q59"/>
  <c r="B60"/>
  <c r="C60"/>
  <c r="D60"/>
  <c r="E60"/>
  <c r="F60"/>
  <c r="G60"/>
  <c r="H60"/>
  <c r="I60"/>
  <c r="J60"/>
  <c r="K60"/>
  <c r="L60"/>
  <c r="M60"/>
  <c r="N60"/>
  <c r="O60"/>
  <c r="P60"/>
  <c r="Q60"/>
  <c r="B61"/>
  <c r="C61"/>
  <c r="D61"/>
  <c r="E61"/>
  <c r="F61"/>
  <c r="G61"/>
  <c r="H61"/>
  <c r="I61"/>
  <c r="J61"/>
  <c r="K61"/>
  <c r="L61"/>
  <c r="AD61" s="1"/>
  <c r="BU61" s="1"/>
  <c r="M61"/>
  <c r="N61"/>
  <c r="AF61" s="1"/>
  <c r="BW61" s="1"/>
  <c r="O61"/>
  <c r="P61"/>
  <c r="AH61" s="1"/>
  <c r="BY61" s="1"/>
  <c r="Q61"/>
  <c r="T61"/>
  <c r="BK61" s="1"/>
  <c r="Y61"/>
  <c r="BP61" s="1"/>
  <c r="B62"/>
  <c r="C62"/>
  <c r="D62"/>
  <c r="E62"/>
  <c r="F62"/>
  <c r="G62"/>
  <c r="H62"/>
  <c r="I62"/>
  <c r="J62"/>
  <c r="K62"/>
  <c r="L62"/>
  <c r="M62"/>
  <c r="N62"/>
  <c r="O62"/>
  <c r="P62"/>
  <c r="Q62"/>
  <c r="Z62"/>
  <c r="BQ62" s="1"/>
  <c r="B63"/>
  <c r="C63"/>
  <c r="D63"/>
  <c r="E63"/>
  <c r="F63"/>
  <c r="G63"/>
  <c r="H63"/>
  <c r="I63"/>
  <c r="J63"/>
  <c r="K63"/>
  <c r="L63"/>
  <c r="M63"/>
  <c r="N63"/>
  <c r="O63"/>
  <c r="AG64" s="1"/>
  <c r="BX64" s="1"/>
  <c r="P63"/>
  <c r="Q63"/>
  <c r="B64"/>
  <c r="C64"/>
  <c r="D64"/>
  <c r="E64"/>
  <c r="F64"/>
  <c r="G64"/>
  <c r="H64"/>
  <c r="I64"/>
  <c r="J64"/>
  <c r="K64"/>
  <c r="L64"/>
  <c r="M64"/>
  <c r="N64"/>
  <c r="O64"/>
  <c r="P64"/>
  <c r="Q64"/>
  <c r="B65"/>
  <c r="C65"/>
  <c r="D65"/>
  <c r="E65"/>
  <c r="F65"/>
  <c r="X66" s="1"/>
  <c r="BO66" s="1"/>
  <c r="G65"/>
  <c r="H65"/>
  <c r="I65"/>
  <c r="J65"/>
  <c r="K65"/>
  <c r="L65"/>
  <c r="AD66" s="1"/>
  <c r="BU66" s="1"/>
  <c r="M65"/>
  <c r="N65"/>
  <c r="O65"/>
  <c r="P65"/>
  <c r="Q65"/>
  <c r="B66"/>
  <c r="C66"/>
  <c r="D66"/>
  <c r="E66"/>
  <c r="F66"/>
  <c r="G66"/>
  <c r="H66"/>
  <c r="I66"/>
  <c r="J66"/>
  <c r="K66"/>
  <c r="L66"/>
  <c r="M66"/>
  <c r="N66"/>
  <c r="O66"/>
  <c r="P66"/>
  <c r="Q66"/>
  <c r="B67"/>
  <c r="C67"/>
  <c r="D67"/>
  <c r="E67"/>
  <c r="F67"/>
  <c r="G67"/>
  <c r="H67"/>
  <c r="I67"/>
  <c r="J67"/>
  <c r="K67"/>
  <c r="L67"/>
  <c r="AD67" s="1"/>
  <c r="BU67" s="1"/>
  <c r="M67"/>
  <c r="N67"/>
  <c r="O67"/>
  <c r="P67"/>
  <c r="Q67"/>
  <c r="B68"/>
  <c r="T69" s="1"/>
  <c r="BK69" s="1"/>
  <c r="C68"/>
  <c r="D68"/>
  <c r="E68"/>
  <c r="F68"/>
  <c r="G68"/>
  <c r="H68"/>
  <c r="Z68" s="1"/>
  <c r="BQ68" s="1"/>
  <c r="I68"/>
  <c r="AA68" s="1"/>
  <c r="BR68" s="1"/>
  <c r="J68"/>
  <c r="K68"/>
  <c r="L68"/>
  <c r="M68"/>
  <c r="N68"/>
  <c r="O68"/>
  <c r="P68"/>
  <c r="Q68"/>
  <c r="AI68" s="1"/>
  <c r="BZ68" s="1"/>
  <c r="B69"/>
  <c r="C69"/>
  <c r="D69"/>
  <c r="E69"/>
  <c r="F69"/>
  <c r="G69"/>
  <c r="H69"/>
  <c r="I69"/>
  <c r="J69"/>
  <c r="K69"/>
  <c r="L69"/>
  <c r="M69"/>
  <c r="N69"/>
  <c r="O69"/>
  <c r="P69"/>
  <c r="Q69"/>
  <c r="B70"/>
  <c r="C70"/>
  <c r="D70"/>
  <c r="E70"/>
  <c r="F70"/>
  <c r="G70"/>
  <c r="H70"/>
  <c r="I70"/>
  <c r="J70"/>
  <c r="K70"/>
  <c r="L70"/>
  <c r="M70"/>
  <c r="N70"/>
  <c r="O70"/>
  <c r="P70"/>
  <c r="Q70"/>
  <c r="B71"/>
  <c r="T71" s="1"/>
  <c r="BK71" s="1"/>
  <c r="C71"/>
  <c r="D71"/>
  <c r="E71"/>
  <c r="F71"/>
  <c r="G71"/>
  <c r="H71"/>
  <c r="I71"/>
  <c r="J71"/>
  <c r="K71"/>
  <c r="L71"/>
  <c r="M71"/>
  <c r="N71"/>
  <c r="O71"/>
  <c r="P71"/>
  <c r="Q71"/>
  <c r="B72"/>
  <c r="C72"/>
  <c r="D72"/>
  <c r="E72"/>
  <c r="F72"/>
  <c r="G72"/>
  <c r="H72"/>
  <c r="I72"/>
  <c r="J72"/>
  <c r="K72"/>
  <c r="L72"/>
  <c r="M72"/>
  <c r="N72"/>
  <c r="O72"/>
  <c r="P72"/>
  <c r="Q72"/>
  <c r="B73"/>
  <c r="C73"/>
  <c r="D73"/>
  <c r="E73"/>
  <c r="G532" i="30" s="1"/>
  <c r="F73" i="25"/>
  <c r="G73"/>
  <c r="H73"/>
  <c r="I73"/>
  <c r="J73"/>
  <c r="K73"/>
  <c r="L73"/>
  <c r="M73"/>
  <c r="N73"/>
  <c r="O73"/>
  <c r="P73"/>
  <c r="Q73"/>
  <c r="B74"/>
  <c r="C74"/>
  <c r="D74"/>
  <c r="E74"/>
  <c r="F74"/>
  <c r="X74" s="1"/>
  <c r="BO74" s="1"/>
  <c r="G74"/>
  <c r="H74"/>
  <c r="I74"/>
  <c r="J74"/>
  <c r="K74"/>
  <c r="L74"/>
  <c r="M74"/>
  <c r="N74"/>
  <c r="O74"/>
  <c r="P74"/>
  <c r="Q74"/>
  <c r="B75"/>
  <c r="T75" s="1"/>
  <c r="BK75" s="1"/>
  <c r="C75"/>
  <c r="D75"/>
  <c r="V75" s="1"/>
  <c r="BM75" s="1"/>
  <c r="E75"/>
  <c r="F75"/>
  <c r="X75" s="1"/>
  <c r="BO75" s="1"/>
  <c r="G75"/>
  <c r="H75"/>
  <c r="I75"/>
  <c r="J75"/>
  <c r="K75"/>
  <c r="L75"/>
  <c r="M75"/>
  <c r="N75"/>
  <c r="O75"/>
  <c r="P75"/>
  <c r="Q75"/>
  <c r="B76"/>
  <c r="C76"/>
  <c r="D76"/>
  <c r="E76"/>
  <c r="F76"/>
  <c r="G76"/>
  <c r="H76"/>
  <c r="I76"/>
  <c r="J76"/>
  <c r="K76"/>
  <c r="L76"/>
  <c r="AD76" s="1"/>
  <c r="BU76" s="1"/>
  <c r="M76"/>
  <c r="N76"/>
  <c r="O76"/>
  <c r="P76"/>
  <c r="AH76" s="1"/>
  <c r="BY76" s="1"/>
  <c r="Q76"/>
  <c r="AB76"/>
  <c r="BS76" s="1"/>
  <c r="B77"/>
  <c r="C77"/>
  <c r="D77"/>
  <c r="E77"/>
  <c r="F77"/>
  <c r="G77"/>
  <c r="H77"/>
  <c r="I77"/>
  <c r="J77"/>
  <c r="K77"/>
  <c r="L77"/>
  <c r="M77"/>
  <c r="N77"/>
  <c r="O77"/>
  <c r="P77"/>
  <c r="Q77"/>
  <c r="B78"/>
  <c r="C78"/>
  <c r="D78"/>
  <c r="E78"/>
  <c r="F78"/>
  <c r="G78"/>
  <c r="H78"/>
  <c r="I78"/>
  <c r="J78"/>
  <c r="K78"/>
  <c r="L78"/>
  <c r="M78"/>
  <c r="N78"/>
  <c r="AF79" s="1"/>
  <c r="BW79" s="1"/>
  <c r="O78"/>
  <c r="P78"/>
  <c r="AH78" s="1"/>
  <c r="BY78" s="1"/>
  <c r="Q78"/>
  <c r="V78"/>
  <c r="BM78" s="1"/>
  <c r="B79"/>
  <c r="C79"/>
  <c r="D79"/>
  <c r="E79"/>
  <c r="F79"/>
  <c r="G79"/>
  <c r="H79"/>
  <c r="I79"/>
  <c r="J79"/>
  <c r="K79"/>
  <c r="L79"/>
  <c r="M79"/>
  <c r="N79"/>
  <c r="O79"/>
  <c r="P79"/>
  <c r="Q79"/>
  <c r="B80"/>
  <c r="C80"/>
  <c r="D80"/>
  <c r="E80"/>
  <c r="F80"/>
  <c r="X81" s="1"/>
  <c r="BO81" s="1"/>
  <c r="G80"/>
  <c r="H80"/>
  <c r="I80"/>
  <c r="J80"/>
  <c r="K80"/>
  <c r="L80"/>
  <c r="M80"/>
  <c r="N80"/>
  <c r="O80"/>
  <c r="P80"/>
  <c r="Q80"/>
  <c r="AH80"/>
  <c r="BY80" s="1"/>
  <c r="B81"/>
  <c r="C81"/>
  <c r="D81"/>
  <c r="E81"/>
  <c r="F81"/>
  <c r="G81"/>
  <c r="H81"/>
  <c r="I81"/>
  <c r="J81"/>
  <c r="K81"/>
  <c r="L81"/>
  <c r="M81"/>
  <c r="N81"/>
  <c r="O81"/>
  <c r="P81"/>
  <c r="Q81"/>
  <c r="AN81"/>
  <c r="B82"/>
  <c r="C82"/>
  <c r="U82" s="1"/>
  <c r="BL82" s="1"/>
  <c r="D82"/>
  <c r="E82"/>
  <c r="W82" s="1"/>
  <c r="BN82" s="1"/>
  <c r="F82"/>
  <c r="H82"/>
  <c r="I82"/>
  <c r="J82"/>
  <c r="K82"/>
  <c r="L82"/>
  <c r="M82"/>
  <c r="N82"/>
  <c r="O82"/>
  <c r="P82"/>
  <c r="Q82"/>
  <c r="B83"/>
  <c r="C83"/>
  <c r="D83"/>
  <c r="V83"/>
  <c r="BM83" s="1"/>
  <c r="E83"/>
  <c r="F83"/>
  <c r="G83"/>
  <c r="H83"/>
  <c r="Z83" s="1"/>
  <c r="BQ83" s="1"/>
  <c r="I83"/>
  <c r="J83"/>
  <c r="AB83" s="1"/>
  <c r="BS83" s="1"/>
  <c r="K83"/>
  <c r="L83"/>
  <c r="M83"/>
  <c r="N83"/>
  <c r="AF83" s="1"/>
  <c r="BW83" s="1"/>
  <c r="O83"/>
  <c r="P83"/>
  <c r="AH83" s="1"/>
  <c r="BY83" s="1"/>
  <c r="Q83"/>
  <c r="T83"/>
  <c r="BK83" s="1"/>
  <c r="B84"/>
  <c r="T84" s="1"/>
  <c r="BK84" s="1"/>
  <c r="C84"/>
  <c r="D84"/>
  <c r="E84"/>
  <c r="F84"/>
  <c r="G84"/>
  <c r="H84"/>
  <c r="I84"/>
  <c r="J84"/>
  <c r="K84"/>
  <c r="L84"/>
  <c r="M84"/>
  <c r="N84"/>
  <c r="O84"/>
  <c r="P84"/>
  <c r="Q84"/>
  <c r="B85"/>
  <c r="T86" s="1"/>
  <c r="C85"/>
  <c r="U86" s="1"/>
  <c r="D85"/>
  <c r="V86" s="1"/>
  <c r="E85"/>
  <c r="F85"/>
  <c r="G85"/>
  <c r="Y86" s="1"/>
  <c r="H85"/>
  <c r="Z86" s="1"/>
  <c r="I85"/>
  <c r="AA86" s="1"/>
  <c r="J85"/>
  <c r="K85"/>
  <c r="AC86" s="1"/>
  <c r="L85"/>
  <c r="AD86" s="1"/>
  <c r="M85"/>
  <c r="AE86" s="1"/>
  <c r="N85"/>
  <c r="AF86" s="1"/>
  <c r="O85"/>
  <c r="AG86" s="1"/>
  <c r="P85"/>
  <c r="AH86" s="1"/>
  <c r="Q85"/>
  <c r="AI86" s="1"/>
  <c r="X86"/>
  <c r="B26" i="30"/>
  <c r="D392"/>
  <c r="C475"/>
  <c r="C476"/>
  <c r="C501"/>
  <c r="C505"/>
  <c r="E527"/>
  <c r="D532"/>
  <c r="F532"/>
  <c r="D537"/>
  <c r="E537"/>
  <c r="F537"/>
  <c r="D538"/>
  <c r="E538"/>
  <c r="F538"/>
  <c r="D542"/>
  <c r="E542"/>
  <c r="F542"/>
  <c r="D555"/>
  <c r="F555"/>
  <c r="D560"/>
  <c r="F560"/>
  <c r="E565"/>
  <c r="F565"/>
  <c r="L565"/>
  <c r="D566"/>
  <c r="E566"/>
  <c r="F566"/>
  <c r="L566"/>
  <c r="E583"/>
  <c r="D584"/>
  <c r="E587"/>
  <c r="E588"/>
  <c r="E590" s="1"/>
  <c r="E589"/>
  <c r="D593"/>
  <c r="E593"/>
  <c r="F593"/>
  <c r="D594"/>
  <c r="E594"/>
  <c r="F594"/>
  <c r="D612"/>
  <c r="F615"/>
  <c r="D616"/>
  <c r="F616"/>
  <c r="D621"/>
  <c r="F621"/>
  <c r="L621"/>
  <c r="D622"/>
  <c r="E622"/>
  <c r="F622"/>
  <c r="L622"/>
  <c r="B726"/>
  <c r="C734"/>
  <c r="C492"/>
  <c r="U76" i="25"/>
  <c r="BL76" s="1"/>
  <c r="AM76"/>
  <c r="AK76"/>
  <c r="U74"/>
  <c r="BL74" s="1"/>
  <c r="AM74"/>
  <c r="AK74"/>
  <c r="U72"/>
  <c r="BL72" s="1"/>
  <c r="AM72"/>
  <c r="AK72"/>
  <c r="U70"/>
  <c r="AM70"/>
  <c r="AK70"/>
  <c r="AM75"/>
  <c r="AK75"/>
  <c r="AM73"/>
  <c r="AK73"/>
  <c r="AM71"/>
  <c r="AK71"/>
  <c r="AM69"/>
  <c r="AK69"/>
  <c r="K560" i="30"/>
  <c r="J532"/>
  <c r="AM67" i="25"/>
  <c r="AH67"/>
  <c r="AF67"/>
  <c r="AB67"/>
  <c r="X67"/>
  <c r="V65"/>
  <c r="BM65" s="1"/>
  <c r="T65"/>
  <c r="BK65" s="1"/>
  <c r="W62"/>
  <c r="BN62" s="1"/>
  <c r="U62"/>
  <c r="BL62" s="1"/>
  <c r="X59"/>
  <c r="BO59" s="1"/>
  <c r="V59"/>
  <c r="BM59" s="1"/>
  <c r="W53"/>
  <c r="BN53" s="1"/>
  <c r="U53"/>
  <c r="BL53" s="1"/>
  <c r="V44"/>
  <c r="BM44" s="1"/>
  <c r="T44"/>
  <c r="BK44" s="1"/>
  <c r="X43"/>
  <c r="BO43" s="1"/>
  <c r="W43"/>
  <c r="BN43" s="1"/>
  <c r="W26"/>
  <c r="BN26" s="1"/>
  <c r="U26"/>
  <c r="BL26" s="1"/>
  <c r="AM13"/>
  <c r="AK13"/>
  <c r="X11"/>
  <c r="BO11" s="1"/>
  <c r="V11"/>
  <c r="BM11" s="1"/>
  <c r="AN4"/>
  <c r="AL4"/>
  <c r="AI67"/>
  <c r="AG67"/>
  <c r="AE67"/>
  <c r="AC67"/>
  <c r="AB64"/>
  <c r="AJ84" i="17"/>
  <c r="AQ83"/>
  <c r="AJ82"/>
  <c r="AQ81"/>
  <c r="DK66"/>
  <c r="DK68"/>
  <c r="DK70"/>
  <c r="DK72"/>
  <c r="DK74"/>
  <c r="DK76"/>
  <c r="DK78"/>
  <c r="DK80"/>
  <c r="DK82"/>
  <c r="DK84"/>
  <c r="DK64"/>
  <c r="DK65"/>
  <c r="DK69"/>
  <c r="DK73"/>
  <c r="DK77"/>
  <c r="DK81"/>
  <c r="DK85"/>
  <c r="DK67"/>
  <c r="DK71"/>
  <c r="DK75"/>
  <c r="DK79"/>
  <c r="DK83"/>
  <c r="DI66"/>
  <c r="DI68"/>
  <c r="DI70"/>
  <c r="DI72"/>
  <c r="DI74"/>
  <c r="DI76"/>
  <c r="DI78"/>
  <c r="DI80"/>
  <c r="DI82"/>
  <c r="DI84"/>
  <c r="DI64"/>
  <c r="DI65"/>
  <c r="DI69"/>
  <c r="DI73"/>
  <c r="DI77"/>
  <c r="DI81"/>
  <c r="DI85"/>
  <c r="DI67"/>
  <c r="DI71"/>
  <c r="DI75"/>
  <c r="DI79"/>
  <c r="DI83"/>
  <c r="DE66"/>
  <c r="DE68"/>
  <c r="DE70"/>
  <c r="DE72"/>
  <c r="DE74"/>
  <c r="DE76"/>
  <c r="DE78"/>
  <c r="DE80"/>
  <c r="DE82"/>
  <c r="DE84"/>
  <c r="DE64"/>
  <c r="DE67"/>
  <c r="DE71"/>
  <c r="DE75"/>
  <c r="DE79"/>
  <c r="DE83"/>
  <c r="DE65"/>
  <c r="DE69"/>
  <c r="DE73"/>
  <c r="DE77"/>
  <c r="DE81"/>
  <c r="DE85"/>
  <c r="DA66"/>
  <c r="DA68"/>
  <c r="DA70"/>
  <c r="DA72"/>
  <c r="DA74"/>
  <c r="DA76"/>
  <c r="DA78"/>
  <c r="DA80"/>
  <c r="DA82"/>
  <c r="DA84"/>
  <c r="DA64"/>
  <c r="DA58"/>
  <c r="DA65"/>
  <c r="DA69"/>
  <c r="DA73"/>
  <c r="DA77"/>
  <c r="DA81"/>
  <c r="DA85"/>
  <c r="DA67"/>
  <c r="DA71"/>
  <c r="DA75"/>
  <c r="DA79"/>
  <c r="DA83"/>
  <c r="DA61"/>
  <c r="DA52"/>
  <c r="DA46"/>
  <c r="DA49"/>
  <c r="DA43"/>
  <c r="DA40"/>
  <c r="DA37"/>
  <c r="CW26"/>
  <c r="CW28"/>
  <c r="CW30"/>
  <c r="CW32"/>
  <c r="CW34"/>
  <c r="CW36"/>
  <c r="CW38"/>
  <c r="CW40"/>
  <c r="CW42"/>
  <c r="CW44"/>
  <c r="CW46"/>
  <c r="CW48"/>
  <c r="CW50"/>
  <c r="CW52"/>
  <c r="CW54"/>
  <c r="CW56"/>
  <c r="CW58"/>
  <c r="CW60"/>
  <c r="CW62"/>
  <c r="CW64"/>
  <c r="CW66"/>
  <c r="CW68"/>
  <c r="CW70"/>
  <c r="CW72"/>
  <c r="CW74"/>
  <c r="CW76"/>
  <c r="CW78"/>
  <c r="CW80"/>
  <c r="CW82"/>
  <c r="CW84"/>
  <c r="CW25"/>
  <c r="CW27"/>
  <c r="CW31"/>
  <c r="CW35"/>
  <c r="CW39"/>
  <c r="CW43"/>
  <c r="CW47"/>
  <c r="CW51"/>
  <c r="CW55"/>
  <c r="CW59"/>
  <c r="CW63"/>
  <c r="CW67"/>
  <c r="CW71"/>
  <c r="CW75"/>
  <c r="CW79"/>
  <c r="CW83"/>
  <c r="CW29"/>
  <c r="CW33"/>
  <c r="CW37"/>
  <c r="CW41"/>
  <c r="CW45"/>
  <c r="CW49"/>
  <c r="CW53"/>
  <c r="CW57"/>
  <c r="CW61"/>
  <c r="CW65"/>
  <c r="CW69"/>
  <c r="CW73"/>
  <c r="CW77"/>
  <c r="CW81"/>
  <c r="CW85"/>
  <c r="AU143" i="34"/>
  <c r="I219" i="33"/>
  <c r="I225"/>
  <c r="I213"/>
  <c r="I210"/>
  <c r="I228"/>
  <c r="I222"/>
  <c r="G210"/>
  <c r="G207"/>
  <c r="G201"/>
  <c r="G204"/>
  <c r="E189"/>
  <c r="E223"/>
  <c r="AJ49" i="17"/>
  <c r="AJ67"/>
  <c r="DL66"/>
  <c r="DL68"/>
  <c r="DL70"/>
  <c r="DL72"/>
  <c r="DL74"/>
  <c r="DL76"/>
  <c r="DL78"/>
  <c r="DL80"/>
  <c r="DL82"/>
  <c r="DL84"/>
  <c r="DL64"/>
  <c r="DL67"/>
  <c r="DL71"/>
  <c r="DL75"/>
  <c r="DL79"/>
  <c r="DL83"/>
  <c r="DL65"/>
  <c r="DL69"/>
  <c r="DL73"/>
  <c r="DL77"/>
  <c r="DL81"/>
  <c r="DL85"/>
  <c r="DJ65"/>
  <c r="DJ67"/>
  <c r="DJ69"/>
  <c r="DJ71"/>
  <c r="DJ73"/>
  <c r="DJ75"/>
  <c r="DJ77"/>
  <c r="DJ79"/>
  <c r="DJ81"/>
  <c r="DJ83"/>
  <c r="DJ64"/>
  <c r="DJ66"/>
  <c r="DJ70"/>
  <c r="DJ74"/>
  <c r="DJ78"/>
  <c r="DJ82"/>
  <c r="DJ85"/>
  <c r="DJ68"/>
  <c r="DJ72"/>
  <c r="DJ76"/>
  <c r="DJ80"/>
  <c r="DJ84"/>
  <c r="DH66"/>
  <c r="DH68"/>
  <c r="DH70"/>
  <c r="DH72"/>
  <c r="DH74"/>
  <c r="DH76"/>
  <c r="DH78"/>
  <c r="DH80"/>
  <c r="DH82"/>
  <c r="DH84"/>
  <c r="DH64"/>
  <c r="DH67"/>
  <c r="DH71"/>
  <c r="DH75"/>
  <c r="DH79"/>
  <c r="DH83"/>
  <c r="DH65"/>
  <c r="DH69"/>
  <c r="DH73"/>
  <c r="DH77"/>
  <c r="DH81"/>
  <c r="DH85"/>
  <c r="DF66"/>
  <c r="DF68"/>
  <c r="DF70"/>
  <c r="DF72"/>
  <c r="DF74"/>
  <c r="DF76"/>
  <c r="DF78"/>
  <c r="DF80"/>
  <c r="DF82"/>
  <c r="DF84"/>
  <c r="DF64"/>
  <c r="DF65"/>
  <c r="DF69"/>
  <c r="DF73"/>
  <c r="DF77"/>
  <c r="DF81"/>
  <c r="DF85"/>
  <c r="DF67"/>
  <c r="DF71"/>
  <c r="DF75"/>
  <c r="DF79"/>
  <c r="DF83"/>
  <c r="DB67"/>
  <c r="DB64"/>
  <c r="B17" i="37"/>
  <c r="B20" s="1"/>
  <c r="DB58" i="17"/>
  <c r="DB55"/>
  <c r="DB61"/>
  <c r="DB52"/>
  <c r="DB49"/>
  <c r="DB46"/>
  <c r="DB43"/>
  <c r="DB37"/>
  <c r="DB40"/>
  <c r="CZ49"/>
  <c r="CZ43"/>
  <c r="CZ46"/>
  <c r="CZ40"/>
  <c r="E615" i="30"/>
  <c r="AV143" i="34"/>
  <c r="AT143"/>
  <c r="J228" i="33"/>
  <c r="J222"/>
  <c r="J213"/>
  <c r="J219"/>
  <c r="J225"/>
  <c r="J210"/>
  <c r="H228"/>
  <c r="H219"/>
  <c r="H213"/>
  <c r="H222"/>
  <c r="H225"/>
  <c r="H210"/>
  <c r="F210"/>
  <c r="F204"/>
  <c r="F207"/>
  <c r="F201"/>
  <c r="BP67" i="17"/>
  <c r="BN67"/>
  <c r="CB64"/>
  <c r="BZ64"/>
  <c r="BX64"/>
  <c r="BV64"/>
  <c r="AJ64"/>
  <c r="BM49"/>
  <c r="AJ23"/>
  <c r="AJ22"/>
  <c r="BN19"/>
  <c r="AJ16"/>
  <c r="BN7"/>
  <c r="N189" i="34"/>
  <c r="E188"/>
  <c r="N187"/>
  <c r="N186"/>
  <c r="N185"/>
  <c r="N184"/>
  <c r="N183"/>
  <c r="N182"/>
  <c r="N181"/>
  <c r="N180"/>
  <c r="N179"/>
  <c r="N178"/>
  <c r="N177"/>
  <c r="N176"/>
  <c r="N175"/>
  <c r="N174"/>
  <c r="N173"/>
  <c r="BE143"/>
  <c r="BC143"/>
  <c r="BA143"/>
  <c r="AY143"/>
  <c r="AW143"/>
  <c r="T143"/>
  <c r="AP122"/>
  <c r="T119"/>
  <c r="AQ118"/>
  <c r="AQ117"/>
  <c r="AQ115"/>
  <c r="AQ112"/>
  <c r="AQ110"/>
  <c r="AQ109"/>
  <c r="AQ108"/>
  <c r="AS92"/>
  <c r="AS90"/>
  <c r="S191" i="33"/>
  <c r="Q191"/>
  <c r="O191"/>
  <c r="M191"/>
  <c r="K191"/>
  <c r="I191"/>
  <c r="G191"/>
  <c r="E191"/>
  <c r="C191"/>
  <c r="S190"/>
  <c r="Q190"/>
  <c r="O190"/>
  <c r="M190"/>
  <c r="K190"/>
  <c r="I190"/>
  <c r="G190"/>
  <c r="E190"/>
  <c r="C190"/>
  <c r="S189"/>
  <c r="Q189"/>
  <c r="O189"/>
  <c r="M189"/>
  <c r="I189"/>
  <c r="G189"/>
  <c r="T142"/>
  <c r="T124"/>
  <c r="T121"/>
  <c r="U77" i="35"/>
  <c r="U74"/>
  <c r="G89"/>
  <c r="S61"/>
  <c r="S68"/>
  <c r="S66"/>
  <c r="S64"/>
  <c r="S111"/>
  <c r="S109"/>
  <c r="S107"/>
  <c r="S105"/>
  <c r="S103"/>
  <c r="S101"/>
  <c r="S99"/>
  <c r="S97"/>
  <c r="S95"/>
  <c r="S93"/>
  <c r="S91"/>
  <c r="S89"/>
  <c r="S87"/>
  <c r="S85"/>
  <c r="S83"/>
  <c r="S81"/>
  <c r="S79"/>
  <c r="S76"/>
  <c r="S73"/>
  <c r="S71"/>
  <c r="T61"/>
  <c r="T110"/>
  <c r="T108"/>
  <c r="T106"/>
  <c r="T104"/>
  <c r="T102"/>
  <c r="T100"/>
  <c r="T98"/>
  <c r="T96"/>
  <c r="T94"/>
  <c r="T92"/>
  <c r="T90"/>
  <c r="T88"/>
  <c r="T86"/>
  <c r="T84"/>
  <c r="T82"/>
  <c r="T80"/>
  <c r="T78"/>
  <c r="T75"/>
  <c r="T72"/>
  <c r="T70"/>
  <c r="T68"/>
  <c r="T66"/>
  <c r="T64"/>
  <c r="U111"/>
  <c r="U110"/>
  <c r="U109"/>
  <c r="U108"/>
  <c r="U107"/>
  <c r="U106"/>
  <c r="U105"/>
  <c r="U104"/>
  <c r="U103"/>
  <c r="U102"/>
  <c r="U101"/>
  <c r="U100"/>
  <c r="U99"/>
  <c r="U98"/>
  <c r="U97"/>
  <c r="U96"/>
  <c r="U95"/>
  <c r="U94"/>
  <c r="U93"/>
  <c r="U92"/>
  <c r="U91"/>
  <c r="U90"/>
  <c r="U89"/>
  <c r="U88"/>
  <c r="U87"/>
  <c r="U86"/>
  <c r="U85"/>
  <c r="U84"/>
  <c r="U83"/>
  <c r="U82"/>
  <c r="U81"/>
  <c r="U80"/>
  <c r="U79"/>
  <c r="U78"/>
  <c r="U76"/>
  <c r="U75"/>
  <c r="U73"/>
  <c r="U72"/>
  <c r="U71"/>
  <c r="U70"/>
  <c r="U69"/>
  <c r="U68"/>
  <c r="U67"/>
  <c r="U66"/>
  <c r="U65"/>
  <c r="U64"/>
  <c r="U63"/>
  <c r="U62"/>
  <c r="F199" i="34"/>
  <c r="F205"/>
  <c r="G199"/>
  <c r="M199"/>
  <c r="O199"/>
  <c r="P199"/>
  <c r="Q199"/>
  <c r="R199"/>
  <c r="L236"/>
  <c r="L234"/>
  <c r="L232"/>
  <c r="L230"/>
  <c r="L228"/>
  <c r="L226"/>
  <c r="L224"/>
  <c r="L222"/>
  <c r="L220"/>
  <c r="L218"/>
  <c r="L216"/>
  <c r="L214"/>
  <c r="L212"/>
  <c r="L210"/>
  <c r="L208"/>
  <c r="L206"/>
  <c r="L204"/>
  <c r="M202"/>
  <c r="M235"/>
  <c r="M233"/>
  <c r="M231"/>
  <c r="M229"/>
  <c r="M227"/>
  <c r="M225"/>
  <c r="M223"/>
  <c r="M221"/>
  <c r="M219"/>
  <c r="M217"/>
  <c r="M215"/>
  <c r="M213"/>
  <c r="M211"/>
  <c r="M209"/>
  <c r="M207"/>
  <c r="M205"/>
  <c r="M203"/>
  <c r="O236"/>
  <c r="O234"/>
  <c r="O232"/>
  <c r="O230"/>
  <c r="O228"/>
  <c r="O226"/>
  <c r="O224"/>
  <c r="O222"/>
  <c r="O220"/>
  <c r="O218"/>
  <c r="O216"/>
  <c r="O214"/>
  <c r="O212"/>
  <c r="O210"/>
  <c r="O208"/>
  <c r="O206"/>
  <c r="O204"/>
  <c r="P202"/>
  <c r="P235"/>
  <c r="P233"/>
  <c r="P231"/>
  <c r="P229"/>
  <c r="P227"/>
  <c r="P225"/>
  <c r="P223"/>
  <c r="P221"/>
  <c r="P219"/>
  <c r="P217"/>
  <c r="P215"/>
  <c r="P213"/>
  <c r="P211"/>
  <c r="P209"/>
  <c r="P207"/>
  <c r="P205"/>
  <c r="P203"/>
  <c r="Q236"/>
  <c r="Q234"/>
  <c r="Q232"/>
  <c r="Q230"/>
  <c r="Q228"/>
  <c r="Q226"/>
  <c r="Q224"/>
  <c r="Q222"/>
  <c r="Q220"/>
  <c r="Q218"/>
  <c r="Q216"/>
  <c r="Q214"/>
  <c r="Q212"/>
  <c r="Q210"/>
  <c r="Q208"/>
  <c r="Q206"/>
  <c r="Q204"/>
  <c r="R202"/>
  <c r="R235"/>
  <c r="R233"/>
  <c r="R231"/>
  <c r="R229"/>
  <c r="R227"/>
  <c r="R225"/>
  <c r="R223"/>
  <c r="R221"/>
  <c r="R219"/>
  <c r="R217"/>
  <c r="R215"/>
  <c r="R213"/>
  <c r="R211"/>
  <c r="R209"/>
  <c r="R207"/>
  <c r="R205"/>
  <c r="R203"/>
  <c r="S236"/>
  <c r="S234"/>
  <c r="S232"/>
  <c r="S230"/>
  <c r="S228"/>
  <c r="S226"/>
  <c r="S224"/>
  <c r="S222"/>
  <c r="S220"/>
  <c r="S218"/>
  <c r="S216"/>
  <c r="S214"/>
  <c r="S212"/>
  <c r="S210"/>
  <c r="S208"/>
  <c r="S206"/>
  <c r="S204"/>
  <c r="S74" i="35"/>
  <c r="S77"/>
  <c r="T77"/>
  <c r="T74"/>
  <c r="V77"/>
  <c r="V74"/>
  <c r="H220" i="34"/>
  <c r="H226"/>
  <c r="H217"/>
  <c r="H223"/>
  <c r="H211"/>
  <c r="I226"/>
  <c r="I220"/>
  <c r="I217"/>
  <c r="I223"/>
  <c r="I211"/>
  <c r="J226"/>
  <c r="J217"/>
  <c r="J223"/>
  <c r="J211"/>
  <c r="J220"/>
  <c r="S62" i="35"/>
  <c r="S67"/>
  <c r="S65"/>
  <c r="S63"/>
  <c r="S110"/>
  <c r="S108"/>
  <c r="S106"/>
  <c r="S104"/>
  <c r="S102"/>
  <c r="S100"/>
  <c r="S98"/>
  <c r="S96"/>
  <c r="S94"/>
  <c r="S92"/>
  <c r="S90"/>
  <c r="S88"/>
  <c r="S86"/>
  <c r="S84"/>
  <c r="S82"/>
  <c r="S80"/>
  <c r="S78"/>
  <c r="S75"/>
  <c r="S72"/>
  <c r="S70"/>
  <c r="T111"/>
  <c r="T109"/>
  <c r="T107"/>
  <c r="T105"/>
  <c r="T103"/>
  <c r="T101"/>
  <c r="T99"/>
  <c r="T97"/>
  <c r="T95"/>
  <c r="T93"/>
  <c r="T91"/>
  <c r="T89"/>
  <c r="T87"/>
  <c r="T85"/>
  <c r="T83"/>
  <c r="T81"/>
  <c r="T79"/>
  <c r="T76"/>
  <c r="T73"/>
  <c r="T71"/>
  <c r="T69"/>
  <c r="T67"/>
  <c r="T65"/>
  <c r="T63"/>
  <c r="V111"/>
  <c r="V110"/>
  <c r="V109"/>
  <c r="V108"/>
  <c r="V107"/>
  <c r="V106"/>
  <c r="V105"/>
  <c r="V104"/>
  <c r="V103"/>
  <c r="V102"/>
  <c r="V101"/>
  <c r="V100"/>
  <c r="V99"/>
  <c r="V98"/>
  <c r="V97"/>
  <c r="V96"/>
  <c r="V95"/>
  <c r="V94"/>
  <c r="V93"/>
  <c r="V92"/>
  <c r="V91"/>
  <c r="V90"/>
  <c r="V89"/>
  <c r="V88"/>
  <c r="V87"/>
  <c r="V86"/>
  <c r="V85"/>
  <c r="V84"/>
  <c r="V83"/>
  <c r="V82"/>
  <c r="V81"/>
  <c r="V80"/>
  <c r="V79"/>
  <c r="V78"/>
  <c r="V76"/>
  <c r="V75"/>
  <c r="V73"/>
  <c r="V72"/>
  <c r="V71"/>
  <c r="V70"/>
  <c r="V69"/>
  <c r="V68"/>
  <c r="V67"/>
  <c r="V66"/>
  <c r="V65"/>
  <c r="V64"/>
  <c r="V63"/>
  <c r="V62"/>
  <c r="L202" i="34"/>
  <c r="L235"/>
  <c r="L233"/>
  <c r="L231"/>
  <c r="L229"/>
  <c r="L227"/>
  <c r="L225"/>
  <c r="L223"/>
  <c r="L221"/>
  <c r="L219"/>
  <c r="L217"/>
  <c r="L215"/>
  <c r="L213"/>
  <c r="L211"/>
  <c r="L209"/>
  <c r="L207"/>
  <c r="L205"/>
  <c r="M236"/>
  <c r="M234"/>
  <c r="M232"/>
  <c r="M230"/>
  <c r="M228"/>
  <c r="M226"/>
  <c r="M224"/>
  <c r="M222"/>
  <c r="M220"/>
  <c r="M218"/>
  <c r="M216"/>
  <c r="M214"/>
  <c r="M212"/>
  <c r="M210"/>
  <c r="M208"/>
  <c r="M206"/>
  <c r="O202"/>
  <c r="O235"/>
  <c r="O233"/>
  <c r="O231"/>
  <c r="O229"/>
  <c r="O227"/>
  <c r="O225"/>
  <c r="O223"/>
  <c r="O221"/>
  <c r="O219"/>
  <c r="O217"/>
  <c r="O215"/>
  <c r="O213"/>
  <c r="O211"/>
  <c r="O209"/>
  <c r="O207"/>
  <c r="O205"/>
  <c r="P236"/>
  <c r="P234"/>
  <c r="P232"/>
  <c r="I612" i="30" s="1"/>
  <c r="P230" i="34"/>
  <c r="P228"/>
  <c r="P226"/>
  <c r="P224"/>
  <c r="P222"/>
  <c r="P220"/>
  <c r="P218"/>
  <c r="P216"/>
  <c r="P214"/>
  <c r="P212"/>
  <c r="P210"/>
  <c r="P208"/>
  <c r="P206"/>
  <c r="Q202"/>
  <c r="Q235"/>
  <c r="Q233"/>
  <c r="Q231"/>
  <c r="Q229"/>
  <c r="Q227"/>
  <c r="Q225"/>
  <c r="Q223"/>
  <c r="Q221"/>
  <c r="Q219"/>
  <c r="Q217"/>
  <c r="Q215"/>
  <c r="Q213"/>
  <c r="Q211"/>
  <c r="Q209"/>
  <c r="Q207"/>
  <c r="Q205"/>
  <c r="R236"/>
  <c r="R234"/>
  <c r="R232"/>
  <c r="R230"/>
  <c r="R228"/>
  <c r="R226"/>
  <c r="R224"/>
  <c r="R222"/>
  <c r="R220"/>
  <c r="T220" s="1"/>
  <c r="R218"/>
  <c r="R216"/>
  <c r="T216" s="1"/>
  <c r="R214"/>
  <c r="R212"/>
  <c r="R210"/>
  <c r="R208"/>
  <c r="R206"/>
  <c r="S202"/>
  <c r="S235"/>
  <c r="S233"/>
  <c r="S231"/>
  <c r="S229"/>
  <c r="S227"/>
  <c r="S225"/>
  <c r="S223"/>
  <c r="S221"/>
  <c r="S219"/>
  <c r="S217"/>
  <c r="S215"/>
  <c r="S213"/>
  <c r="S211"/>
  <c r="S209"/>
  <c r="S207"/>
  <c r="S205"/>
  <c r="J560" i="30"/>
  <c r="K555"/>
  <c r="G555"/>
  <c r="I588"/>
  <c r="J587"/>
  <c r="J583"/>
  <c r="J589" s="1"/>
  <c r="K615"/>
  <c r="J612"/>
  <c r="D588"/>
  <c r="H611"/>
  <c r="G612"/>
  <c r="J615"/>
  <c r="I616"/>
  <c r="G583"/>
  <c r="K583"/>
  <c r="BA7" i="17"/>
  <c r="E612" i="30"/>
  <c r="BT67" i="25"/>
  <c r="BX67"/>
  <c r="BS67"/>
  <c r="BY67"/>
  <c r="T207" i="34"/>
  <c r="T227"/>
  <c r="T211"/>
  <c r="T206"/>
  <c r="T222"/>
  <c r="T223"/>
  <c r="L612" i="30"/>
  <c r="BS64" i="25"/>
  <c r="BV67"/>
  <c r="BZ67"/>
  <c r="BO67"/>
  <c r="BW67"/>
  <c r="T213" i="34"/>
  <c r="T212"/>
  <c r="T228"/>
  <c r="J555" i="30"/>
  <c r="H616"/>
  <c r="D585"/>
  <c r="E529"/>
  <c r="F586"/>
  <c r="F585"/>
  <c r="E585"/>
  <c r="E621"/>
  <c r="H537"/>
  <c r="K565"/>
  <c r="K621"/>
  <c r="B27"/>
  <c r="AE61" i="25"/>
  <c r="BV61" s="1"/>
  <c r="AE60"/>
  <c r="BV60" s="1"/>
  <c r="W61"/>
  <c r="BN61" s="1"/>
  <c r="W60"/>
  <c r="BN60" s="1"/>
  <c r="U61"/>
  <c r="BL61" s="1"/>
  <c r="AL60"/>
  <c r="AG53"/>
  <c r="BX53" s="1"/>
  <c r="AG54"/>
  <c r="BX54" s="1"/>
  <c r="AK53"/>
  <c r="U54"/>
  <c r="BL54" s="1"/>
  <c r="AC85"/>
  <c r="BT85" s="1"/>
  <c r="AN85"/>
  <c r="V84"/>
  <c r="BM84" s="1"/>
  <c r="AH84"/>
  <c r="BY84" s="1"/>
  <c r="Z84"/>
  <c r="BQ84" s="1"/>
  <c r="AE82"/>
  <c r="BV82" s="1"/>
  <c r="Z82"/>
  <c r="BQ82" s="1"/>
  <c r="AF81"/>
  <c r="BW81" s="1"/>
  <c r="AB81"/>
  <c r="BS81" s="1"/>
  <c r="V81"/>
  <c r="BM81" s="1"/>
  <c r="AI78"/>
  <c r="BZ78" s="1"/>
  <c r="AG78"/>
  <c r="BX78" s="1"/>
  <c r="AE78"/>
  <c r="BV78" s="1"/>
  <c r="AC78"/>
  <c r="BT78" s="1"/>
  <c r="AA78"/>
  <c r="BR78" s="1"/>
  <c r="Y78"/>
  <c r="BP78" s="1"/>
  <c r="W78"/>
  <c r="BN78" s="1"/>
  <c r="AB77"/>
  <c r="BS77" s="1"/>
  <c r="T77"/>
  <c r="BK77" s="1"/>
  <c r="AI75"/>
  <c r="BZ75" s="1"/>
  <c r="AG75"/>
  <c r="BX75" s="1"/>
  <c r="AE75"/>
  <c r="BV75" s="1"/>
  <c r="AC75"/>
  <c r="BT75" s="1"/>
  <c r="AA75"/>
  <c r="BR75" s="1"/>
  <c r="Y75"/>
  <c r="BP75" s="1"/>
  <c r="AN74"/>
  <c r="AH73"/>
  <c r="BY73" s="1"/>
  <c r="AL72"/>
  <c r="AH71"/>
  <c r="BY71" s="1"/>
  <c r="X71"/>
  <c r="BO71" s="1"/>
  <c r="AH69"/>
  <c r="BY69" s="1"/>
  <c r="AF69"/>
  <c r="BW69" s="1"/>
  <c r="AN68"/>
  <c r="AI66"/>
  <c r="BZ66" s="1"/>
  <c r="AA66"/>
  <c r="BR66" s="1"/>
  <c r="AN65"/>
  <c r="AI64"/>
  <c r="BZ64" s="1"/>
  <c r="AE64"/>
  <c r="BV64" s="1"/>
  <c r="AA64"/>
  <c r="BR64" s="1"/>
  <c r="Y64"/>
  <c r="BP64" s="1"/>
  <c r="W64"/>
  <c r="BN64" s="1"/>
  <c r="AK63"/>
  <c r="AL61"/>
  <c r="AI61"/>
  <c r="BZ61" s="1"/>
  <c r="AC61"/>
  <c r="BT61" s="1"/>
  <c r="AA61"/>
  <c r="BR61" s="1"/>
  <c r="AE56"/>
  <c r="BV56" s="1"/>
  <c r="Y56"/>
  <c r="BP56" s="1"/>
  <c r="AI55"/>
  <c r="BZ55" s="1"/>
  <c r="AH51"/>
  <c r="BY51" s="1"/>
  <c r="AL50"/>
  <c r="W49"/>
  <c r="BN49" s="1"/>
  <c r="V52"/>
  <c r="BM52" s="1"/>
  <c r="AL51"/>
  <c r="AN82"/>
  <c r="AI81"/>
  <c r="BZ81" s="1"/>
  <c r="AG81"/>
  <c r="BX81" s="1"/>
  <c r="AE81"/>
  <c r="BV81" s="1"/>
  <c r="AC81"/>
  <c r="BT81" s="1"/>
  <c r="AA81"/>
  <c r="BR81" s="1"/>
  <c r="Y81"/>
  <c r="BP81" s="1"/>
  <c r="AN80"/>
  <c r="AH79"/>
  <c r="BY79" s="1"/>
  <c r="Z79"/>
  <c r="BQ79" s="1"/>
  <c r="V79"/>
  <c r="BM79" s="1"/>
  <c r="T79"/>
  <c r="BK79" s="1"/>
  <c r="AF76"/>
  <c r="BW76" s="1"/>
  <c r="X76"/>
  <c r="BO76" s="1"/>
  <c r="AF73"/>
  <c r="BW73" s="1"/>
  <c r="AB73"/>
  <c r="BS73" s="1"/>
  <c r="E561" i="30" s="1"/>
  <c r="T73" i="25"/>
  <c r="BK73" s="1"/>
  <c r="AC68"/>
  <c r="BT68" s="1"/>
  <c r="AN67"/>
  <c r="Z67"/>
  <c r="BQ67" s="1"/>
  <c r="T67"/>
  <c r="BK67" s="1"/>
  <c r="AG57"/>
  <c r="BX57" s="1"/>
  <c r="AE57"/>
  <c r="BV57" s="1"/>
  <c r="Y57"/>
  <c r="BP57" s="1"/>
  <c r="U57"/>
  <c r="BL57" s="1"/>
  <c r="AN52"/>
  <c r="AH52"/>
  <c r="BY52" s="1"/>
  <c r="AF52"/>
  <c r="BW52" s="1"/>
  <c r="AD52"/>
  <c r="BU52" s="1"/>
  <c r="AB52"/>
  <c r="BS52" s="1"/>
  <c r="Z52"/>
  <c r="BQ52" s="1"/>
  <c r="T52"/>
  <c r="BK52" s="1"/>
  <c r="AL49"/>
  <c r="AA49"/>
  <c r="BR49" s="1"/>
  <c r="U49"/>
  <c r="BL49" s="1"/>
  <c r="AI62"/>
  <c r="BZ62" s="1"/>
  <c r="AG62"/>
  <c r="BX62" s="1"/>
  <c r="AE62"/>
  <c r="BV62" s="1"/>
  <c r="AC62"/>
  <c r="BT62" s="1"/>
  <c r="AA62"/>
  <c r="BR62" s="1"/>
  <c r="Y62"/>
  <c r="BP62" s="1"/>
  <c r="W63"/>
  <c r="BN63" s="1"/>
  <c r="AB62"/>
  <c r="BS62" s="1"/>
  <c r="V62"/>
  <c r="BM62" s="1"/>
  <c r="T62"/>
  <c r="BK62" s="1"/>
  <c r="AF60"/>
  <c r="BW60" s="1"/>
  <c r="AD60"/>
  <c r="BU60" s="1"/>
  <c r="AB60"/>
  <c r="BS60" s="1"/>
  <c r="Z60"/>
  <c r="BQ60" s="1"/>
  <c r="X60"/>
  <c r="BO60" s="1"/>
  <c r="V60"/>
  <c r="BM60" s="1"/>
  <c r="AI60"/>
  <c r="BZ60" s="1"/>
  <c r="AG60"/>
  <c r="BX60" s="1"/>
  <c r="AC60"/>
  <c r="BT60" s="1"/>
  <c r="Y60"/>
  <c r="BP60" s="1"/>
  <c r="AL59"/>
  <c r="AI58"/>
  <c r="BZ58" s="1"/>
  <c r="AE58"/>
  <c r="BV58" s="1"/>
  <c r="AA58"/>
  <c r="BR58" s="1"/>
  <c r="W59"/>
  <c r="BN59" s="1"/>
  <c r="U58"/>
  <c r="BL58" s="1"/>
  <c r="AF55"/>
  <c r="BW55" s="1"/>
  <c r="AK54"/>
  <c r="AI49"/>
  <c r="BZ49" s="1"/>
  <c r="AH49"/>
  <c r="BY49" s="1"/>
  <c r="T49"/>
  <c r="BK49" s="1"/>
  <c r="AI47"/>
  <c r="BZ47" s="1"/>
  <c r="AG47"/>
  <c r="BX47" s="1"/>
  <c r="AE46"/>
  <c r="BV46" s="1"/>
  <c r="AC46"/>
  <c r="BT46" s="1"/>
  <c r="AA46"/>
  <c r="BR46" s="1"/>
  <c r="Y46"/>
  <c r="BP46" s="1"/>
  <c r="W47"/>
  <c r="BN47" s="1"/>
  <c r="AL46"/>
  <c r="AH46"/>
  <c r="BY46" s="1"/>
  <c r="AF46"/>
  <c r="BW46" s="1"/>
  <c r="AD46"/>
  <c r="BU46" s="1"/>
  <c r="V46"/>
  <c r="BM46" s="1"/>
  <c r="T46"/>
  <c r="BK46" s="1"/>
  <c r="AN43"/>
  <c r="AG41"/>
  <c r="BX41" s="1"/>
  <c r="AB41"/>
  <c r="BS41" s="1"/>
  <c r="W41"/>
  <c r="BN41" s="1"/>
  <c r="AD41"/>
  <c r="BU41" s="1"/>
  <c r="V41"/>
  <c r="BM41" s="1"/>
  <c r="AG39"/>
  <c r="BX39" s="1"/>
  <c r="AC39"/>
  <c r="BT39" s="1"/>
  <c r="Y39"/>
  <c r="BP39" s="1"/>
  <c r="U39"/>
  <c r="BL39" s="1"/>
  <c r="AA38"/>
  <c r="BR38" s="1"/>
  <c r="AK38"/>
  <c r="AH37"/>
  <c r="BY37" s="1"/>
  <c r="AB37"/>
  <c r="BS37" s="1"/>
  <c r="W36"/>
  <c r="BN36" s="1"/>
  <c r="AH34"/>
  <c r="BY34" s="1"/>
  <c r="AB34"/>
  <c r="BS34" s="1"/>
  <c r="W34"/>
  <c r="BN34" s="1"/>
  <c r="AG33"/>
  <c r="BX33" s="1"/>
  <c r="AA33"/>
  <c r="BR33" s="1"/>
  <c r="AI32"/>
  <c r="BZ32" s="1"/>
  <c r="AC32"/>
  <c r="BT32" s="1"/>
  <c r="AA32"/>
  <c r="BR32" s="1"/>
  <c r="AK31"/>
  <c r="AC27"/>
  <c r="BT27" s="1"/>
  <c r="AI23"/>
  <c r="BZ23" s="1"/>
  <c r="AA23"/>
  <c r="BR23" s="1"/>
  <c r="V22"/>
  <c r="BM22" s="1"/>
  <c r="AI19"/>
  <c r="BZ19" s="1"/>
  <c r="AA19"/>
  <c r="BR19" s="1"/>
  <c r="V18"/>
  <c r="BM18" s="1"/>
  <c r="AI15"/>
  <c r="BZ15" s="1"/>
  <c r="AA15"/>
  <c r="BR15" s="1"/>
  <c r="AL13"/>
  <c r="AB13"/>
  <c r="BS13" s="1"/>
  <c r="AI13"/>
  <c r="BZ13" s="1"/>
  <c r="AE13"/>
  <c r="BV13" s="1"/>
  <c r="AA13"/>
  <c r="BR13" s="1"/>
  <c r="AN12"/>
  <c r="U10"/>
  <c r="BL10" s="1"/>
  <c r="AE11"/>
  <c r="BV11" s="1"/>
  <c r="W11"/>
  <c r="BN11" s="1"/>
  <c r="AK10"/>
  <c r="AH9"/>
  <c r="BY9" s="1"/>
  <c r="Z9"/>
  <c r="BQ9" s="1"/>
  <c r="Y7"/>
  <c r="BP7" s="1"/>
  <c r="T5"/>
  <c r="BK5" s="1"/>
  <c r="F87" i="17"/>
  <c r="AQ74"/>
  <c r="AQ70"/>
  <c r="AJ66"/>
  <c r="AQ18"/>
  <c r="AQ8"/>
  <c r="DK7"/>
  <c r="DI7"/>
  <c r="DG7"/>
  <c r="DE7"/>
  <c r="D184" i="34"/>
  <c r="D183"/>
  <c r="D180"/>
  <c r="D179"/>
  <c r="D176"/>
  <c r="D175"/>
  <c r="D172"/>
  <c r="AV146"/>
  <c r="AU146"/>
  <c r="AT146"/>
  <c r="T105"/>
  <c r="T104"/>
  <c r="T93"/>
  <c r="T91"/>
  <c r="BP88"/>
  <c r="BP89" s="1"/>
  <c r="Z26"/>
  <c r="Z24"/>
  <c r="Z22"/>
  <c r="Z20"/>
  <c r="Z18"/>
  <c r="Z16"/>
  <c r="Z14"/>
  <c r="Z12"/>
  <c r="Z10"/>
  <c r="Z8"/>
  <c r="Z6"/>
  <c r="Z4"/>
  <c r="S176" i="33"/>
  <c r="O176"/>
  <c r="K176"/>
  <c r="S174"/>
  <c r="K174"/>
  <c r="G174"/>
  <c r="C174"/>
  <c r="Q172"/>
  <c r="T122"/>
  <c r="T118"/>
  <c r="T114"/>
  <c r="T110"/>
  <c r="T106"/>
  <c r="T102"/>
  <c r="T90"/>
  <c r="T88"/>
  <c r="D47" i="32"/>
  <c r="K47" s="1"/>
  <c r="H46"/>
  <c r="L199" i="34"/>
  <c r="AI45" i="25"/>
  <c r="BZ45" s="1"/>
  <c r="W45"/>
  <c r="BN45" s="1"/>
  <c r="AI43"/>
  <c r="BZ43" s="1"/>
  <c r="AE43"/>
  <c r="BV43" s="1"/>
  <c r="AC43"/>
  <c r="BT43" s="1"/>
  <c r="AA43"/>
  <c r="BR43" s="1"/>
  <c r="AK42"/>
  <c r="AE38"/>
  <c r="BV38" s="1"/>
  <c r="AK36"/>
  <c r="AK35"/>
  <c r="AK33"/>
  <c r="AH31"/>
  <c r="BY31" s="1"/>
  <c r="AF31"/>
  <c r="BW31" s="1"/>
  <c r="AD31"/>
  <c r="BU31" s="1"/>
  <c r="AB31"/>
  <c r="BS31" s="1"/>
  <c r="Z31"/>
  <c r="BQ31" s="1"/>
  <c r="X31"/>
  <c r="BO31" s="1"/>
  <c r="T31"/>
  <c r="BK31" s="1"/>
  <c r="AK29"/>
  <c r="AE29"/>
  <c r="BV29" s="1"/>
  <c r="W29"/>
  <c r="BN29" s="1"/>
  <c r="AG28"/>
  <c r="BX28" s="1"/>
  <c r="U28"/>
  <c r="BL28" s="1"/>
  <c r="AA27"/>
  <c r="BR27" s="1"/>
  <c r="AM8"/>
  <c r="AK7"/>
  <c r="AE7"/>
  <c r="BV7" s="1"/>
  <c r="AE6"/>
  <c r="BV6" s="1"/>
  <c r="W6"/>
  <c r="BN6" s="1"/>
  <c r="AQ12" i="17"/>
  <c r="Z27" i="34"/>
  <c r="Z25"/>
  <c r="Z23"/>
  <c r="Z21"/>
  <c r="Z19"/>
  <c r="Z17"/>
  <c r="Z15"/>
  <c r="Z13"/>
  <c r="Z11"/>
  <c r="Z9"/>
  <c r="Z7"/>
  <c r="Z5"/>
  <c r="Z3"/>
  <c r="T120" i="33"/>
  <c r="T116"/>
  <c r="T112"/>
  <c r="T108"/>
  <c r="T104"/>
  <c r="D33" i="32"/>
  <c r="K33" s="1"/>
  <c r="BS87" i="33"/>
  <c r="T225" i="34"/>
  <c r="W86" i="25"/>
  <c r="AG85"/>
  <c r="BX85" s="1"/>
  <c r="AE85"/>
  <c r="BV85" s="1"/>
  <c r="Y85"/>
  <c r="BP85" s="1"/>
  <c r="W85"/>
  <c r="BN85" s="1"/>
  <c r="AL84"/>
  <c r="AL82"/>
  <c r="AL80"/>
  <c r="AI80"/>
  <c r="BZ80" s="1"/>
  <c r="AG80"/>
  <c r="BX80" s="1"/>
  <c r="AA80"/>
  <c r="BR80" s="1"/>
  <c r="Y80"/>
  <c r="BP80" s="1"/>
  <c r="AL79"/>
  <c r="AL77"/>
  <c r="AL74"/>
  <c r="AO74" s="1"/>
  <c r="AF72"/>
  <c r="BW72" s="1"/>
  <c r="X72"/>
  <c r="BO72" s="1"/>
  <c r="AB70"/>
  <c r="AN69"/>
  <c r="AL67"/>
  <c r="AN64"/>
  <c r="AK62"/>
  <c r="AN61"/>
  <c r="AF48"/>
  <c r="BW48" s="1"/>
  <c r="AD48"/>
  <c r="BU48" s="1"/>
  <c r="AN47"/>
  <c r="V48"/>
  <c r="BM48" s="1"/>
  <c r="AN45"/>
  <c r="AL43"/>
  <c r="AM41"/>
  <c r="AH40"/>
  <c r="BY40" s="1"/>
  <c r="AF40"/>
  <c r="BW40" s="1"/>
  <c r="AD40"/>
  <c r="BU40" s="1"/>
  <c r="AB40"/>
  <c r="BS40" s="1"/>
  <c r="Z40"/>
  <c r="BQ40" s="1"/>
  <c r="V40"/>
  <c r="BM40" s="1"/>
  <c r="T40"/>
  <c r="BK40" s="1"/>
  <c r="AM38"/>
  <c r="AM36"/>
  <c r="AM34"/>
  <c r="AM32"/>
  <c r="AM30"/>
  <c r="U29"/>
  <c r="BL29" s="1"/>
  <c r="AE27"/>
  <c r="BV27" s="1"/>
  <c r="W27"/>
  <c r="BN27" s="1"/>
  <c r="AK26"/>
  <c r="U23"/>
  <c r="BL23" s="1"/>
  <c r="U19"/>
  <c r="BL19" s="1"/>
  <c r="U15"/>
  <c r="BL15" s="1"/>
  <c r="AK8"/>
  <c r="AI7"/>
  <c r="BZ7" s="1"/>
  <c r="AA7"/>
  <c r="BR7" s="1"/>
  <c r="AM6"/>
  <c r="AO3"/>
  <c r="AJ75" i="17"/>
  <c r="AJ71"/>
  <c r="AQ65"/>
  <c r="AQ58"/>
  <c r="AJ53"/>
  <c r="AQ51"/>
  <c r="AQ46"/>
  <c r="AJ43"/>
  <c r="AQ42"/>
  <c r="AQ37"/>
  <c r="AQ21"/>
  <c r="AQ16"/>
  <c r="AQ14"/>
  <c r="AQ11"/>
  <c r="AQ7"/>
  <c r="BQ87" i="33"/>
  <c r="BO87"/>
  <c r="T86"/>
  <c r="G122" i="34"/>
  <c r="J588" i="30"/>
  <c r="T209" i="34"/>
  <c r="BL70" i="25"/>
  <c r="AL85"/>
  <c r="W83"/>
  <c r="BN83" s="1"/>
  <c r="U83"/>
  <c r="BL83" s="1"/>
  <c r="AI84"/>
  <c r="BZ84" s="1"/>
  <c r="AG84"/>
  <c r="BX84" s="1"/>
  <c r="AA84"/>
  <c r="BR84" s="1"/>
  <c r="Y84"/>
  <c r="BP84" s="1"/>
  <c r="AL83"/>
  <c r="W81"/>
  <c r="BN81" s="1"/>
  <c r="U81"/>
  <c r="BL81" s="1"/>
  <c r="AI82"/>
  <c r="BZ82" s="1"/>
  <c r="AG82"/>
  <c r="BX82" s="1"/>
  <c r="AA82"/>
  <c r="BR82" s="1"/>
  <c r="Y82"/>
  <c r="BP82" s="1"/>
  <c r="AL81"/>
  <c r="U78"/>
  <c r="BL78" s="1"/>
  <c r="AI79"/>
  <c r="BZ79" s="1"/>
  <c r="AG79"/>
  <c r="BX79" s="1"/>
  <c r="AA79"/>
  <c r="BR79" s="1"/>
  <c r="Y79"/>
  <c r="BP79" s="1"/>
  <c r="W79"/>
  <c r="BN79" s="1"/>
  <c r="AL78"/>
  <c r="AN77"/>
  <c r="AH77"/>
  <c r="BY77" s="1"/>
  <c r="AD77"/>
  <c r="BU77" s="1"/>
  <c r="Z77"/>
  <c r="BQ77" s="1"/>
  <c r="V77"/>
  <c r="BM77" s="1"/>
  <c r="AG77"/>
  <c r="BX77" s="1"/>
  <c r="AE77"/>
  <c r="BV77" s="1"/>
  <c r="Y77"/>
  <c r="BP77" s="1"/>
  <c r="W77"/>
  <c r="BN77" s="1"/>
  <c r="AL76"/>
  <c r="W75"/>
  <c r="BN75" s="1"/>
  <c r="U75"/>
  <c r="BL75" s="1"/>
  <c r="AN75"/>
  <c r="AD73"/>
  <c r="BU73" s="1"/>
  <c r="G561" i="30" s="1"/>
  <c r="V73" i="25"/>
  <c r="BM73" s="1"/>
  <c r="AB72"/>
  <c r="BS72" s="1"/>
  <c r="AF70"/>
  <c r="AG71"/>
  <c r="BX71" s="1"/>
  <c r="Y71"/>
  <c r="BP71" s="1"/>
  <c r="AL70"/>
  <c r="X69"/>
  <c r="BO69" s="1"/>
  <c r="Y68"/>
  <c r="BP68" s="1"/>
  <c r="V67"/>
  <c r="BM67" s="1"/>
  <c r="AG66"/>
  <c r="BX66" s="1"/>
  <c r="AE66"/>
  <c r="BV66" s="1"/>
  <c r="Y66"/>
  <c r="BP66" s="1"/>
  <c r="W66"/>
  <c r="BN66" s="1"/>
  <c r="AL66"/>
  <c r="AH66"/>
  <c r="BY66" s="1"/>
  <c r="AB66"/>
  <c r="BS66" s="1"/>
  <c r="Z66"/>
  <c r="BQ66" s="1"/>
  <c r="AL65"/>
  <c r="T66"/>
  <c r="BK66" s="1"/>
  <c r="U64"/>
  <c r="BL64" s="1"/>
  <c r="AE63"/>
  <c r="BV63" s="1"/>
  <c r="AM63"/>
  <c r="AD62"/>
  <c r="BU62" s="1"/>
  <c r="AE59"/>
  <c r="BV59" s="1"/>
  <c r="AK58"/>
  <c r="AB58"/>
  <c r="BS58" s="1"/>
  <c r="AA57"/>
  <c r="BR57" s="1"/>
  <c r="T55"/>
  <c r="BK55" s="1"/>
  <c r="AH55"/>
  <c r="BY55" s="1"/>
  <c r="AF56"/>
  <c r="BW56" s="1"/>
  <c r="AD55"/>
  <c r="BU55" s="1"/>
  <c r="AB55"/>
  <c r="BS55" s="1"/>
  <c r="Z55"/>
  <c r="BQ55" s="1"/>
  <c r="X56"/>
  <c r="BO56" s="1"/>
  <c r="AE54"/>
  <c r="BV54" s="1"/>
  <c r="Y54"/>
  <c r="BP54" s="1"/>
  <c r="AI54"/>
  <c r="BZ54" s="1"/>
  <c r="AG55"/>
  <c r="BX55" s="1"/>
  <c r="AE55"/>
  <c r="BV55" s="1"/>
  <c r="AC54"/>
  <c r="BT54" s="1"/>
  <c r="AA54"/>
  <c r="BR54" s="1"/>
  <c r="Y55"/>
  <c r="BP55" s="1"/>
  <c r="W54"/>
  <c r="BN54" s="1"/>
  <c r="U55"/>
  <c r="BL55" s="1"/>
  <c r="AF54"/>
  <c r="BW54" s="1"/>
  <c r="X54"/>
  <c r="BO54" s="1"/>
  <c r="T54"/>
  <c r="BK54" s="1"/>
  <c r="AE50"/>
  <c r="BV50" s="1"/>
  <c r="AC50"/>
  <c r="BT50" s="1"/>
  <c r="Y50"/>
  <c r="BP50" s="1"/>
  <c r="AH50"/>
  <c r="BY50" s="1"/>
  <c r="AF50"/>
  <c r="BW50" s="1"/>
  <c r="AD50"/>
  <c r="BU50" s="1"/>
  <c r="AB49"/>
  <c r="BS49" s="1"/>
  <c r="Z49"/>
  <c r="BQ49" s="1"/>
  <c r="V50"/>
  <c r="BM50" s="1"/>
  <c r="T50"/>
  <c r="BK50" s="1"/>
  <c r="AB48"/>
  <c r="BS48" s="1"/>
  <c r="Z48"/>
  <c r="BQ48" s="1"/>
  <c r="U47"/>
  <c r="BL47" s="1"/>
  <c r="AF47"/>
  <c r="BW47" s="1"/>
  <c r="AD47"/>
  <c r="BU47" s="1"/>
  <c r="AN46"/>
  <c r="V47"/>
  <c r="BM47" s="1"/>
  <c r="AG45"/>
  <c r="BX45" s="1"/>
  <c r="U45"/>
  <c r="BL45" s="1"/>
  <c r="AL44"/>
  <c r="AF45"/>
  <c r="BW45" s="1"/>
  <c r="AD45"/>
  <c r="BU45" s="1"/>
  <c r="AN44"/>
  <c r="V45"/>
  <c r="BM45" s="1"/>
  <c r="AG43"/>
  <c r="BX43" s="1"/>
  <c r="Y43"/>
  <c r="BP43" s="1"/>
  <c r="U43"/>
  <c r="BL43" s="1"/>
  <c r="V42"/>
  <c r="BM42" s="1"/>
  <c r="AM42"/>
  <c r="AI41"/>
  <c r="BZ41" s="1"/>
  <c r="AA41"/>
  <c r="BR41" s="1"/>
  <c r="AM40"/>
  <c r="AM39"/>
  <c r="AH39"/>
  <c r="BY39" s="1"/>
  <c r="AB39"/>
  <c r="BS39" s="1"/>
  <c r="Z39"/>
  <c r="BQ39" s="1"/>
  <c r="V39"/>
  <c r="BM39" s="1"/>
  <c r="V38"/>
  <c r="BM38" s="1"/>
  <c r="AG38"/>
  <c r="BX38" s="1"/>
  <c r="AC38"/>
  <c r="BT38" s="1"/>
  <c r="Y38"/>
  <c r="BP38" s="1"/>
  <c r="U38"/>
  <c r="BL38" s="1"/>
  <c r="T37"/>
  <c r="BK37" s="1"/>
  <c r="AM37"/>
  <c r="AE36"/>
  <c r="BV36" s="1"/>
  <c r="V36"/>
  <c r="BM36" s="1"/>
  <c r="Y36"/>
  <c r="BP36" s="1"/>
  <c r="U36"/>
  <c r="BL36" s="1"/>
  <c r="AF36"/>
  <c r="BW36" s="1"/>
  <c r="AD36"/>
  <c r="BU36" s="1"/>
  <c r="AM35"/>
  <c r="U34"/>
  <c r="BL34" s="1"/>
  <c r="AF34"/>
  <c r="BW34" s="1"/>
  <c r="AD34"/>
  <c r="BU34" s="1"/>
  <c r="X34"/>
  <c r="BO34" s="1"/>
  <c r="AM33"/>
  <c r="AG32"/>
  <c r="BX32" s="1"/>
  <c r="Y32"/>
  <c r="BP32" s="1"/>
  <c r="U32"/>
  <c r="BL32" s="1"/>
  <c r="V31"/>
  <c r="BM31" s="1"/>
  <c r="AF32"/>
  <c r="BW32" s="1"/>
  <c r="AD32"/>
  <c r="BU32" s="1"/>
  <c r="X32"/>
  <c r="BO32" s="1"/>
  <c r="AM31"/>
  <c r="U30"/>
  <c r="BL30" s="1"/>
  <c r="AM29"/>
  <c r="AH28"/>
  <c r="BY28" s="1"/>
  <c r="AF28"/>
  <c r="BW28" s="1"/>
  <c r="AD28"/>
  <c r="BU28" s="1"/>
  <c r="Z28"/>
  <c r="BQ28" s="1"/>
  <c r="X28"/>
  <c r="BO28" s="1"/>
  <c r="AK27"/>
  <c r="V26"/>
  <c r="BM26" s="1"/>
  <c r="AI26"/>
  <c r="BZ26" s="1"/>
  <c r="AE26"/>
  <c r="BV26" s="1"/>
  <c r="AA26"/>
  <c r="BR26" s="1"/>
  <c r="AL24"/>
  <c r="AI24"/>
  <c r="BZ24" s="1"/>
  <c r="AG24"/>
  <c r="BX24" s="1"/>
  <c r="AE24"/>
  <c r="BV24" s="1"/>
  <c r="AC24"/>
  <c r="BT24" s="1"/>
  <c r="AA24"/>
  <c r="BR24" s="1"/>
  <c r="Y24"/>
  <c r="BP24" s="1"/>
  <c r="W24"/>
  <c r="BN24" s="1"/>
  <c r="U25"/>
  <c r="BL25" s="1"/>
  <c r="AG23"/>
  <c r="BX23" s="1"/>
  <c r="AC23"/>
  <c r="BT23" s="1"/>
  <c r="Y23"/>
  <c r="BP23" s="1"/>
  <c r="AH24"/>
  <c r="BY24" s="1"/>
  <c r="AD24"/>
  <c r="BU24" s="1"/>
  <c r="Z24"/>
  <c r="BQ24" s="1"/>
  <c r="T24"/>
  <c r="BK24" s="1"/>
  <c r="AF22"/>
  <c r="BW22" s="1"/>
  <c r="X22"/>
  <c r="BO22" s="1"/>
  <c r="U22"/>
  <c r="BL22" s="1"/>
  <c r="AL20"/>
  <c r="AI20"/>
  <c r="BZ20" s="1"/>
  <c r="AG20"/>
  <c r="BX20" s="1"/>
  <c r="AE20"/>
  <c r="BV20" s="1"/>
  <c r="AC20"/>
  <c r="BT20" s="1"/>
  <c r="AA20"/>
  <c r="BR20" s="1"/>
  <c r="Y20"/>
  <c r="BP20" s="1"/>
  <c r="W20"/>
  <c r="BN20" s="1"/>
  <c r="U21"/>
  <c r="BL21" s="1"/>
  <c r="AG19"/>
  <c r="BX19" s="1"/>
  <c r="AC19"/>
  <c r="BT19" s="1"/>
  <c r="Y19"/>
  <c r="BP19" s="1"/>
  <c r="Z20"/>
  <c r="BQ20" s="1"/>
  <c r="T20"/>
  <c r="BK20" s="1"/>
  <c r="AF18"/>
  <c r="BW18" s="1"/>
  <c r="X18"/>
  <c r="BO18" s="1"/>
  <c r="U18"/>
  <c r="BL18" s="1"/>
  <c r="AL16"/>
  <c r="AI16"/>
  <c r="BZ16" s="1"/>
  <c r="AG16"/>
  <c r="BX16" s="1"/>
  <c r="AE16"/>
  <c r="BV16" s="1"/>
  <c r="AC16"/>
  <c r="BT16" s="1"/>
  <c r="AA16"/>
  <c r="BR16" s="1"/>
  <c r="Y16"/>
  <c r="BP16" s="1"/>
  <c r="W16"/>
  <c r="BN16" s="1"/>
  <c r="U17"/>
  <c r="BL17" s="1"/>
  <c r="AG15"/>
  <c r="BX15" s="1"/>
  <c r="AC15"/>
  <c r="BT15" s="1"/>
  <c r="Y15"/>
  <c r="BP15" s="1"/>
  <c r="T16"/>
  <c r="BK16" s="1"/>
  <c r="AF14"/>
  <c r="BW14" s="1"/>
  <c r="X14"/>
  <c r="BO14" s="1"/>
  <c r="U14"/>
  <c r="BL14" s="1"/>
  <c r="W13"/>
  <c r="BN13" s="1"/>
  <c r="AG12"/>
  <c r="BX12" s="1"/>
  <c r="AC12"/>
  <c r="BT12" s="1"/>
  <c r="Y12"/>
  <c r="BP12" s="1"/>
  <c r="AE10"/>
  <c r="BV10" s="1"/>
  <c r="W10"/>
  <c r="BN10" s="1"/>
  <c r="AK9"/>
  <c r="V9"/>
  <c r="BM9" s="1"/>
  <c r="AF8"/>
  <c r="BW8" s="1"/>
  <c r="U8"/>
  <c r="BL8" s="1"/>
  <c r="W8"/>
  <c r="BN8" s="1"/>
  <c r="W7"/>
  <c r="BN7" s="1"/>
  <c r="AB8"/>
  <c r="BS8" s="1"/>
  <c r="AM7"/>
  <c r="AI5"/>
  <c r="BZ5" s="1"/>
  <c r="CQ5" s="1"/>
  <c r="AC5"/>
  <c r="BT5" s="1"/>
  <c r="CK5" s="1"/>
  <c r="AA5"/>
  <c r="BR5" s="1"/>
  <c r="CI5" s="1"/>
  <c r="W5"/>
  <c r="BN5" s="1"/>
  <c r="CE5" s="1"/>
  <c r="CE6" s="1"/>
  <c r="AH6"/>
  <c r="BY6" s="1"/>
  <c r="AF6"/>
  <c r="BW6" s="1"/>
  <c r="AD6"/>
  <c r="BU6" s="1"/>
  <c r="AB6"/>
  <c r="BS6" s="1"/>
  <c r="Z6"/>
  <c r="BQ6" s="1"/>
  <c r="V6"/>
  <c r="BM6" s="1"/>
  <c r="T6"/>
  <c r="BK6" s="1"/>
  <c r="AK4"/>
  <c r="AQ85" i="17"/>
  <c r="AQ76"/>
  <c r="BN75"/>
  <c r="BN71"/>
  <c r="BX70"/>
  <c r="AQ66"/>
  <c r="AQ61"/>
  <c r="AJ52"/>
  <c r="AQ49"/>
  <c r="AJ41"/>
  <c r="AQ28"/>
  <c r="AQ22"/>
  <c r="AQ13"/>
  <c r="AQ9"/>
  <c r="DA7"/>
  <c r="CY7"/>
  <c r="CW7"/>
  <c r="DK6"/>
  <c r="DI6"/>
  <c r="DG6"/>
  <c r="DE6"/>
  <c r="DC6"/>
  <c r="DA6"/>
  <c r="CY6"/>
  <c r="CW6"/>
  <c r="E185" i="34"/>
  <c r="E183"/>
  <c r="E181"/>
  <c r="E179"/>
  <c r="E177"/>
  <c r="E175"/>
  <c r="BE146"/>
  <c r="BD146"/>
  <c r="T134"/>
  <c r="T114"/>
  <c r="T99"/>
  <c r="H173" i="33"/>
  <c r="F172"/>
  <c r="AT145"/>
  <c r="T93"/>
  <c r="AO86"/>
  <c r="BG86" s="1"/>
  <c r="Z68"/>
  <c r="Z66"/>
  <c r="Z64"/>
  <c r="Z62"/>
  <c r="Z60"/>
  <c r="Z58"/>
  <c r="D41" i="32"/>
  <c r="K41" s="1"/>
  <c r="H40"/>
  <c r="D34"/>
  <c r="K34" s="1"/>
  <c r="H35"/>
  <c r="S199" i="34"/>
  <c r="BS70" i="25"/>
  <c r="AG58"/>
  <c r="BX58" s="1"/>
  <c r="AG59"/>
  <c r="BX59" s="1"/>
  <c r="AC58"/>
  <c r="BT58" s="1"/>
  <c r="AC59"/>
  <c r="BT59" s="1"/>
  <c r="Y58"/>
  <c r="BP58" s="1"/>
  <c r="Y59"/>
  <c r="BP59" s="1"/>
  <c r="W58"/>
  <c r="BN58" s="1"/>
  <c r="AM58"/>
  <c r="AK55"/>
  <c r="T56"/>
  <c r="BK56" s="1"/>
  <c r="AL52"/>
  <c r="V53"/>
  <c r="BM53" s="1"/>
  <c r="AN50"/>
  <c r="X51"/>
  <c r="BO51" s="1"/>
  <c r="AN48"/>
  <c r="X49"/>
  <c r="BO49" s="1"/>
  <c r="T217" i="34"/>
  <c r="T224"/>
  <c r="AM82" i="25"/>
  <c r="AK82"/>
  <c r="AI72"/>
  <c r="BZ72" s="1"/>
  <c r="AG72"/>
  <c r="BX72" s="1"/>
  <c r="AE72"/>
  <c r="BV72" s="1"/>
  <c r="AC72"/>
  <c r="BT72" s="1"/>
  <c r="AA72"/>
  <c r="BR72" s="1"/>
  <c r="Y72"/>
  <c r="BP72" s="1"/>
  <c r="W72"/>
  <c r="BN72" s="1"/>
  <c r="T70"/>
  <c r="AH70"/>
  <c r="AD70"/>
  <c r="Z70"/>
  <c r="AN70"/>
  <c r="V70"/>
  <c r="AD69"/>
  <c r="BU69" s="1"/>
  <c r="AB69"/>
  <c r="BS69" s="1"/>
  <c r="V69"/>
  <c r="BM69" s="1"/>
  <c r="AI70"/>
  <c r="AG70"/>
  <c r="AE70"/>
  <c r="AC70"/>
  <c r="AA70"/>
  <c r="Y70"/>
  <c r="W70"/>
  <c r="AL68"/>
  <c r="U68"/>
  <c r="BL68" s="1"/>
  <c r="AM68"/>
  <c r="AM65"/>
  <c r="AK65"/>
  <c r="AI63"/>
  <c r="BZ63" s="1"/>
  <c r="AC63"/>
  <c r="BT63" s="1"/>
  <c r="AA63"/>
  <c r="BR63" s="1"/>
  <c r="U63"/>
  <c r="BL63" s="1"/>
  <c r="AF62"/>
  <c r="BW62" s="1"/>
  <c r="X62"/>
  <c r="BO62" s="1"/>
  <c r="AN62"/>
  <c r="AL62"/>
  <c r="AB61"/>
  <c r="BS61" s="1"/>
  <c r="Z61"/>
  <c r="BQ61" s="1"/>
  <c r="X61"/>
  <c r="BO61" s="1"/>
  <c r="V61"/>
  <c r="BM61" s="1"/>
  <c r="AM61"/>
  <c r="AN60"/>
  <c r="AM60"/>
  <c r="AM59"/>
  <c r="AH58"/>
  <c r="BY58" s="1"/>
  <c r="AD58"/>
  <c r="BU58" s="1"/>
  <c r="Z58"/>
  <c r="BQ58" s="1"/>
  <c r="U59"/>
  <c r="BL59" s="1"/>
  <c r="AI57"/>
  <c r="BZ57" s="1"/>
  <c r="AC57"/>
  <c r="BT57" s="1"/>
  <c r="AG56"/>
  <c r="BX56" s="1"/>
  <c r="U56"/>
  <c r="BL56" s="1"/>
  <c r="AL55"/>
  <c r="AN53"/>
  <c r="AL53"/>
  <c r="AH53"/>
  <c r="BY53" s="1"/>
  <c r="AD53"/>
  <c r="BU53" s="1"/>
  <c r="Z53"/>
  <c r="BQ53" s="1"/>
  <c r="AB51"/>
  <c r="BS51" s="1"/>
  <c r="Z51"/>
  <c r="BQ51" s="1"/>
  <c r="AF51"/>
  <c r="BW51" s="1"/>
  <c r="AD51"/>
  <c r="BU51" s="1"/>
  <c r="V51"/>
  <c r="BM51" s="1"/>
  <c r="AF49"/>
  <c r="BW49" s="1"/>
  <c r="AD49"/>
  <c r="BU49" s="1"/>
  <c r="V49"/>
  <c r="BM49" s="1"/>
  <c r="AL57"/>
  <c r="V58"/>
  <c r="BM58" s="1"/>
  <c r="AK57"/>
  <c r="T58"/>
  <c r="BK58" s="1"/>
  <c r="AN51"/>
  <c r="X52"/>
  <c r="BO52" s="1"/>
  <c r="AN49"/>
  <c r="X50"/>
  <c r="BO50" s="1"/>
  <c r="T219" i="34"/>
  <c r="T210"/>
  <c r="T202"/>
  <c r="T218"/>
  <c r="AM85" i="25"/>
  <c r="AK85"/>
  <c r="AM84"/>
  <c r="AK84"/>
  <c r="AM83"/>
  <c r="AK83"/>
  <c r="AM81"/>
  <c r="AK81"/>
  <c r="AM80"/>
  <c r="AK80"/>
  <c r="AM79"/>
  <c r="AM78"/>
  <c r="AM77"/>
  <c r="AI76"/>
  <c r="BZ76" s="1"/>
  <c r="AG76"/>
  <c r="BX76" s="1"/>
  <c r="AE76"/>
  <c r="BV76" s="1"/>
  <c r="AC76"/>
  <c r="BT76" s="1"/>
  <c r="AA76"/>
  <c r="BR76" s="1"/>
  <c r="Y76"/>
  <c r="BP76" s="1"/>
  <c r="W76"/>
  <c r="BN76" s="1"/>
  <c r="AI74"/>
  <c r="BZ74" s="1"/>
  <c r="AG74"/>
  <c r="BX74" s="1"/>
  <c r="AE74"/>
  <c r="BV74" s="1"/>
  <c r="AC74"/>
  <c r="BT74" s="1"/>
  <c r="AA74"/>
  <c r="BR74" s="1"/>
  <c r="Y74"/>
  <c r="BP74" s="1"/>
  <c r="W74"/>
  <c r="BN74" s="1"/>
  <c r="AN72"/>
  <c r="AO72" s="1"/>
  <c r="AK67"/>
  <c r="AO67" s="1"/>
  <c r="AA67"/>
  <c r="BR67" s="1"/>
  <c r="AK66"/>
  <c r="AH65"/>
  <c r="BY65" s="1"/>
  <c r="AF65"/>
  <c r="BW65" s="1"/>
  <c r="AD65"/>
  <c r="BU65" s="1"/>
  <c r="AB65"/>
  <c r="BS65" s="1"/>
  <c r="Z65"/>
  <c r="BQ65" s="1"/>
  <c r="X65"/>
  <c r="BO65" s="1"/>
  <c r="AK64"/>
  <c r="AF64"/>
  <c r="BW64" s="1"/>
  <c r="AD64"/>
  <c r="BU64" s="1"/>
  <c r="AN63"/>
  <c r="AL63"/>
  <c r="K172" i="34"/>
  <c r="K173"/>
  <c r="K174"/>
  <c r="K175"/>
  <c r="T175" s="1"/>
  <c r="K176"/>
  <c r="K177"/>
  <c r="K178"/>
  <c r="K179"/>
  <c r="T179" s="1"/>
  <c r="K180"/>
  <c r="K181"/>
  <c r="K182"/>
  <c r="K183"/>
  <c r="T183" s="1"/>
  <c r="K184"/>
  <c r="T153"/>
  <c r="AQ153"/>
  <c r="T152"/>
  <c r="AQ152"/>
  <c r="T151"/>
  <c r="AQ151"/>
  <c r="T150"/>
  <c r="AQ150"/>
  <c r="BA146"/>
  <c r="AH59" i="25"/>
  <c r="BY59" s="1"/>
  <c r="AF59"/>
  <c r="BW59" s="1"/>
  <c r="AD59"/>
  <c r="BU59" s="1"/>
  <c r="AB59"/>
  <c r="BS59" s="1"/>
  <c r="Z59"/>
  <c r="BQ59" s="1"/>
  <c r="AL58"/>
  <c r="T59"/>
  <c r="BK59" s="1"/>
  <c r="W57"/>
  <c r="BN57" s="1"/>
  <c r="AH56"/>
  <c r="BY56" s="1"/>
  <c r="AD56"/>
  <c r="BU56" s="1"/>
  <c r="Z56"/>
  <c r="BQ56" s="1"/>
  <c r="AL56"/>
  <c r="W55"/>
  <c r="BN55" s="1"/>
  <c r="AH54"/>
  <c r="BY54" s="1"/>
  <c r="AD54"/>
  <c r="BU54" s="1"/>
  <c r="Z54"/>
  <c r="BQ54" s="1"/>
  <c r="AL54"/>
  <c r="AM52"/>
  <c r="AM51"/>
  <c r="AM50"/>
  <c r="AM49"/>
  <c r="X48"/>
  <c r="BO48" s="1"/>
  <c r="AM48"/>
  <c r="X47"/>
  <c r="BO47" s="1"/>
  <c r="AM47"/>
  <c r="X46"/>
  <c r="BO46" s="1"/>
  <c r="AM46"/>
  <c r="X45"/>
  <c r="BO45" s="1"/>
  <c r="AM45"/>
  <c r="AH42"/>
  <c r="BY42" s="1"/>
  <c r="AF42"/>
  <c r="BW42" s="1"/>
  <c r="Z42"/>
  <c r="BQ42" s="1"/>
  <c r="X42"/>
  <c r="BO42" s="1"/>
  <c r="AC41"/>
  <c r="BT41" s="1"/>
  <c r="U41"/>
  <c r="BL41" s="1"/>
  <c r="AL40"/>
  <c r="V35"/>
  <c r="BM35" s="1"/>
  <c r="V34"/>
  <c r="BM34" s="1"/>
  <c r="V33"/>
  <c r="BM33" s="1"/>
  <c r="V32"/>
  <c r="BM32" s="1"/>
  <c r="AL32"/>
  <c r="AH30"/>
  <c r="BY30" s="1"/>
  <c r="AF30"/>
  <c r="BW30" s="1"/>
  <c r="Z30"/>
  <c r="BQ30" s="1"/>
  <c r="X30"/>
  <c r="BO30" s="1"/>
  <c r="AI29"/>
  <c r="BZ29" s="1"/>
  <c r="AC29"/>
  <c r="BT29" s="1"/>
  <c r="AA29"/>
  <c r="BR29" s="1"/>
  <c r="T28"/>
  <c r="BK28" s="1"/>
  <c r="AN28"/>
  <c r="AL28"/>
  <c r="AG27"/>
  <c r="BX27" s="1"/>
  <c r="Y27"/>
  <c r="BP27" s="1"/>
  <c r="U27"/>
  <c r="BL27" s="1"/>
  <c r="W28"/>
  <c r="BN28" s="1"/>
  <c r="AF26"/>
  <c r="BW26" s="1"/>
  <c r="AB26"/>
  <c r="BS26" s="1"/>
  <c r="X26"/>
  <c r="BO26" s="1"/>
  <c r="AH27"/>
  <c r="BY27" s="1"/>
  <c r="AD27"/>
  <c r="BU27" s="1"/>
  <c r="Z27"/>
  <c r="BQ27" s="1"/>
  <c r="AL26"/>
  <c r="AL25"/>
  <c r="AM25"/>
  <c r="AH25"/>
  <c r="BY25" s="1"/>
  <c r="AD25"/>
  <c r="BU25" s="1"/>
  <c r="Z25"/>
  <c r="BQ25" s="1"/>
  <c r="AL23"/>
  <c r="AM23"/>
  <c r="AH23"/>
  <c r="BY23" s="1"/>
  <c r="AD23"/>
  <c r="BU23" s="1"/>
  <c r="Z23"/>
  <c r="BQ23" s="1"/>
  <c r="AL21"/>
  <c r="AM21"/>
  <c r="AH21"/>
  <c r="BY21" s="1"/>
  <c r="AD21"/>
  <c r="BU21" s="1"/>
  <c r="Z21"/>
  <c r="BQ21" s="1"/>
  <c r="AL19"/>
  <c r="AM19"/>
  <c r="AH18"/>
  <c r="BY18" s="1"/>
  <c r="AD18"/>
  <c r="BU18" s="1"/>
  <c r="Z19"/>
  <c r="BQ19" s="1"/>
  <c r="AL17"/>
  <c r="AM17"/>
  <c r="AH16"/>
  <c r="BY16" s="1"/>
  <c r="AD16"/>
  <c r="BU16" s="1"/>
  <c r="Z16"/>
  <c r="BQ16" s="1"/>
  <c r="AL15"/>
  <c r="AM15"/>
  <c r="T14"/>
  <c r="BK14" s="1"/>
  <c r="AH14"/>
  <c r="BY14" s="1"/>
  <c r="AD14"/>
  <c r="BU14" s="1"/>
  <c r="Z14"/>
  <c r="BQ14" s="1"/>
  <c r="AL12"/>
  <c r="U12"/>
  <c r="BL12" s="1"/>
  <c r="AM12"/>
  <c r="AL11"/>
  <c r="AH11"/>
  <c r="BY11" s="1"/>
  <c r="AF11"/>
  <c r="BW11" s="1"/>
  <c r="AD11"/>
  <c r="BU11" s="1"/>
  <c r="AB11"/>
  <c r="BS11" s="1"/>
  <c r="AN11"/>
  <c r="T11"/>
  <c r="BK11" s="1"/>
  <c r="AM10"/>
  <c r="AI10"/>
  <c r="BZ10" s="1"/>
  <c r="AG10"/>
  <c r="BX10" s="1"/>
  <c r="AA10"/>
  <c r="BR10" s="1"/>
  <c r="Y10"/>
  <c r="BP10" s="1"/>
  <c r="D2"/>
  <c r="AM9"/>
  <c r="AD9"/>
  <c r="BU9" s="1"/>
  <c r="AN9"/>
  <c r="T9"/>
  <c r="BK9" s="1"/>
  <c r="AC7"/>
  <c r="BT7" s="1"/>
  <c r="U7"/>
  <c r="BL7" s="1"/>
  <c r="AL6"/>
  <c r="AH5"/>
  <c r="BY5" s="1"/>
  <c r="CP5" s="1"/>
  <c r="AD5"/>
  <c r="BU5" s="1"/>
  <c r="Z5"/>
  <c r="BQ5" s="1"/>
  <c r="CH5" s="1"/>
  <c r="V5"/>
  <c r="BM5" s="1"/>
  <c r="AQ84" i="17"/>
  <c r="AJ83"/>
  <c r="AQ82"/>
  <c r="AQ79"/>
  <c r="AJ79"/>
  <c r="AQ78"/>
  <c r="AJ76"/>
  <c r="AQ75"/>
  <c r="AJ74"/>
  <c r="AQ71"/>
  <c r="AJ70"/>
  <c r="AQ67"/>
  <c r="AQ64"/>
  <c r="AQ63"/>
  <c r="AJ63"/>
  <c r="AQ60"/>
  <c r="AJ60"/>
  <c r="AQ57"/>
  <c r="AJ57"/>
  <c r="BN53"/>
  <c r="AQ53"/>
  <c r="BN52"/>
  <c r="AQ52"/>
  <c r="AQ50"/>
  <c r="AJ50"/>
  <c r="AQ47"/>
  <c r="AJ47"/>
  <c r="AQ45"/>
  <c r="AJ45"/>
  <c r="AQ44"/>
  <c r="BN43"/>
  <c r="AQ43"/>
  <c r="BN41"/>
  <c r="AQ41"/>
  <c r="AQ39"/>
  <c r="AJ39"/>
  <c r="AJ38"/>
  <c r="AJ35"/>
  <c r="AJ33"/>
  <c r="AJ31"/>
  <c r="AQ29"/>
  <c r="AJ29"/>
  <c r="AQ26"/>
  <c r="AJ26"/>
  <c r="AQ25"/>
  <c r="AJ25"/>
  <c r="AJ24"/>
  <c r="AQ19"/>
  <c r="AJ19"/>
  <c r="AJ18"/>
  <c r="AJ17"/>
  <c r="BN16"/>
  <c r="AJ15"/>
  <c r="AJ12"/>
  <c r="AJ10"/>
  <c r="AJ8"/>
  <c r="AQ5"/>
  <c r="AJ5"/>
  <c r="CT3"/>
  <c r="AQ3"/>
  <c r="T171" i="34"/>
  <c r="T146"/>
  <c r="BT88"/>
  <c r="BT89" s="1"/>
  <c r="BS88" i="33"/>
  <c r="BS89" s="1"/>
  <c r="BS90" s="1"/>
  <c r="BS91" s="1"/>
  <c r="BS92" s="1"/>
  <c r="AQ149" i="34"/>
  <c r="T149"/>
  <c r="T148"/>
  <c r="AQ148"/>
  <c r="T147"/>
  <c r="AQ147"/>
  <c r="AZ146"/>
  <c r="AM44" i="25"/>
  <c r="AK44"/>
  <c r="AH44"/>
  <c r="BY44" s="1"/>
  <c r="AF44"/>
  <c r="BW44" s="1"/>
  <c r="AD44"/>
  <c r="BU44" s="1"/>
  <c r="AB44"/>
  <c r="BS44" s="1"/>
  <c r="Z44"/>
  <c r="BQ44" s="1"/>
  <c r="X44"/>
  <c r="BO44" s="1"/>
  <c r="AK43"/>
  <c r="AH43"/>
  <c r="BY43" s="1"/>
  <c r="AF43"/>
  <c r="BW43" s="1"/>
  <c r="AD43"/>
  <c r="BU43" s="1"/>
  <c r="AB43"/>
  <c r="BS43" s="1"/>
  <c r="Z43"/>
  <c r="BQ43" s="1"/>
  <c r="AL42"/>
  <c r="AN41"/>
  <c r="AL41"/>
  <c r="AL39"/>
  <c r="AL38"/>
  <c r="AL37"/>
  <c r="AL36"/>
  <c r="AL35"/>
  <c r="AL34"/>
  <c r="AL33"/>
  <c r="AN32"/>
  <c r="AN31"/>
  <c r="AL31"/>
  <c r="AN30"/>
  <c r="AL30"/>
  <c r="AN29"/>
  <c r="AL29"/>
  <c r="AL27"/>
  <c r="AM24"/>
  <c r="AM22"/>
  <c r="AM20"/>
  <c r="AM18"/>
  <c r="AM16"/>
  <c r="AM14"/>
  <c r="AM11"/>
  <c r="AN10"/>
  <c r="AL8"/>
  <c r="AL7"/>
  <c r="AL5"/>
  <c r="CR3"/>
  <c r="AJ85" i="17"/>
  <c r="AJ81"/>
  <c r="AQ80"/>
  <c r="AQ73"/>
  <c r="AJ73"/>
  <c r="AQ72"/>
  <c r="AJ72"/>
  <c r="AQ69"/>
  <c r="AJ69"/>
  <c r="AQ68"/>
  <c r="AJ68"/>
  <c r="AJ65"/>
  <c r="AQ62"/>
  <c r="AJ62"/>
  <c r="AJ61"/>
  <c r="AQ59"/>
  <c r="AJ59"/>
  <c r="AJ58"/>
  <c r="AQ56"/>
  <c r="AJ56"/>
  <c r="AQ55"/>
  <c r="AJ55"/>
  <c r="AQ54"/>
  <c r="AJ51"/>
  <c r="AQ48"/>
  <c r="AJ42"/>
  <c r="AQ40"/>
  <c r="AJ40"/>
  <c r="AQ38"/>
  <c r="AJ37"/>
  <c r="AJ36"/>
  <c r="AQ34"/>
  <c r="AQ32"/>
  <c r="AQ30"/>
  <c r="AJ28"/>
  <c r="AQ27"/>
  <c r="AJ27"/>
  <c r="AJ21"/>
  <c r="AJ14"/>
  <c r="AJ13"/>
  <c r="AJ11"/>
  <c r="AJ9"/>
  <c r="AQ6"/>
  <c r="AJ6"/>
  <c r="AQ4"/>
  <c r="AJ4"/>
  <c r="T201" i="34"/>
  <c r="T200"/>
  <c r="BQ88" i="33"/>
  <c r="BQ89" s="1"/>
  <c r="BQ90" s="1"/>
  <c r="T144" i="34"/>
  <c r="T142"/>
  <c r="T141"/>
  <c r="T138"/>
  <c r="T137"/>
  <c r="T136"/>
  <c r="T135"/>
  <c r="T132"/>
  <c r="T131"/>
  <c r="T130"/>
  <c r="T129"/>
  <c r="T126"/>
  <c r="T117"/>
  <c r="T115"/>
  <c r="T110"/>
  <c r="T108"/>
  <c r="T103"/>
  <c r="T100"/>
  <c r="T96"/>
  <c r="T90"/>
  <c r="BR88"/>
  <c r="BR89"/>
  <c r="BN88"/>
  <c r="T87"/>
  <c r="Z69"/>
  <c r="Z67"/>
  <c r="Z65"/>
  <c r="Z63"/>
  <c r="Z61"/>
  <c r="Z59"/>
  <c r="Z57"/>
  <c r="Z55"/>
  <c r="Z53"/>
  <c r="Z51"/>
  <c r="Z49"/>
  <c r="Z47"/>
  <c r="Z45"/>
  <c r="Z43"/>
  <c r="Z41"/>
  <c r="Z39"/>
  <c r="Z37"/>
  <c r="Z35"/>
  <c r="Z33"/>
  <c r="Z31"/>
  <c r="Z29"/>
  <c r="T152" i="33"/>
  <c r="T151"/>
  <c r="T150"/>
  <c r="T149"/>
  <c r="T148"/>
  <c r="T147"/>
  <c r="T146"/>
  <c r="T144"/>
  <c r="T119"/>
  <c r="T117"/>
  <c r="T115"/>
  <c r="T113"/>
  <c r="T111"/>
  <c r="T109"/>
  <c r="T107"/>
  <c r="T105"/>
  <c r="T103"/>
  <c r="T101"/>
  <c r="T100"/>
  <c r="T98"/>
  <c r="T96"/>
  <c r="T92"/>
  <c r="Z69"/>
  <c r="Z67"/>
  <c r="Z65"/>
  <c r="Z63"/>
  <c r="Z61"/>
  <c r="Z59"/>
  <c r="Z57"/>
  <c r="Z55"/>
  <c r="Z53"/>
  <c r="Z51"/>
  <c r="Z49"/>
  <c r="Z47"/>
  <c r="Z45"/>
  <c r="Z43"/>
  <c r="Z41"/>
  <c r="Z39"/>
  <c r="Z37"/>
  <c r="Z35"/>
  <c r="Z33"/>
  <c r="Z31"/>
  <c r="Z29"/>
  <c r="Z27"/>
  <c r="Z25"/>
  <c r="Z23"/>
  <c r="Z21"/>
  <c r="Z19"/>
  <c r="Z17"/>
  <c r="Z15"/>
  <c r="Z13"/>
  <c r="Z11"/>
  <c r="Z9"/>
  <c r="Z7"/>
  <c r="Z5"/>
  <c r="Z3"/>
  <c r="G96" i="35"/>
  <c r="G94"/>
  <c r="G90"/>
  <c r="G87"/>
  <c r="G85"/>
  <c r="G83"/>
  <c r="G81"/>
  <c r="G79"/>
  <c r="G77"/>
  <c r="G75"/>
  <c r="G73"/>
  <c r="G71"/>
  <c r="G69"/>
  <c r="G67"/>
  <c r="G65"/>
  <c r="G63"/>
  <c r="G61"/>
  <c r="T170" i="34"/>
  <c r="T145"/>
  <c r="AQ144"/>
  <c r="AQ142"/>
  <c r="AQ141"/>
  <c r="T139"/>
  <c r="AQ138"/>
  <c r="AQ137"/>
  <c r="AQ136"/>
  <c r="AQ135"/>
  <c r="T133"/>
  <c r="AQ132"/>
  <c r="AQ131"/>
  <c r="AQ130"/>
  <c r="AQ129"/>
  <c r="T127"/>
  <c r="AQ126"/>
  <c r="T125"/>
  <c r="T124"/>
  <c r="T123"/>
  <c r="T121"/>
  <c r="T120"/>
  <c r="T118"/>
  <c r="T112"/>
  <c r="T111"/>
  <c r="T109"/>
  <c r="T107"/>
  <c r="AS103"/>
  <c r="T102"/>
  <c r="T98"/>
  <c r="T97"/>
  <c r="AS96"/>
  <c r="T94"/>
  <c r="T92"/>
  <c r="T88"/>
  <c r="Z68"/>
  <c r="Z66"/>
  <c r="Z64"/>
  <c r="Z62"/>
  <c r="Z60"/>
  <c r="Z58"/>
  <c r="Z56"/>
  <c r="Z54"/>
  <c r="Z52"/>
  <c r="Z50"/>
  <c r="Z48"/>
  <c r="Z46"/>
  <c r="Z44"/>
  <c r="Z42"/>
  <c r="Z40"/>
  <c r="Z38"/>
  <c r="Z36"/>
  <c r="Z34"/>
  <c r="Z32"/>
  <c r="Z30"/>
  <c r="Z28"/>
  <c r="J211" i="33"/>
  <c r="H211"/>
  <c r="F211"/>
  <c r="D211"/>
  <c r="D210"/>
  <c r="J208"/>
  <c r="H208"/>
  <c r="F208"/>
  <c r="D208"/>
  <c r="J206"/>
  <c r="H206"/>
  <c r="F206"/>
  <c r="D206"/>
  <c r="J204"/>
  <c r="H204"/>
  <c r="D204"/>
  <c r="R203"/>
  <c r="P203"/>
  <c r="N203"/>
  <c r="L203"/>
  <c r="J203"/>
  <c r="H203"/>
  <c r="F203"/>
  <c r="D203"/>
  <c r="R202"/>
  <c r="P202"/>
  <c r="N202"/>
  <c r="L202"/>
  <c r="J202"/>
  <c r="H202"/>
  <c r="F202"/>
  <c r="D202"/>
  <c r="R200"/>
  <c r="P200"/>
  <c r="N200"/>
  <c r="L200"/>
  <c r="J200"/>
  <c r="H200"/>
  <c r="F200"/>
  <c r="D200"/>
  <c r="R198"/>
  <c r="P198"/>
  <c r="N198"/>
  <c r="L198"/>
  <c r="J198"/>
  <c r="H198"/>
  <c r="F198"/>
  <c r="D198"/>
  <c r="R196"/>
  <c r="P196"/>
  <c r="N196"/>
  <c r="L196"/>
  <c r="J196"/>
  <c r="H196"/>
  <c r="F196"/>
  <c r="D196"/>
  <c r="R194"/>
  <c r="P194"/>
  <c r="N194"/>
  <c r="L194"/>
  <c r="J194"/>
  <c r="H194"/>
  <c r="F194"/>
  <c r="D194"/>
  <c r="R192"/>
  <c r="P192"/>
  <c r="N192"/>
  <c r="L192"/>
  <c r="J192"/>
  <c r="H192"/>
  <c r="F192"/>
  <c r="D192"/>
  <c r="R191"/>
  <c r="N191"/>
  <c r="J191"/>
  <c r="F191"/>
  <c r="R190"/>
  <c r="N190"/>
  <c r="J190"/>
  <c r="F190"/>
  <c r="R189"/>
  <c r="N189"/>
  <c r="J189"/>
  <c r="F189"/>
  <c r="R188"/>
  <c r="P188"/>
  <c r="N188"/>
  <c r="L188"/>
  <c r="J188"/>
  <c r="H188"/>
  <c r="F188"/>
  <c r="D188"/>
  <c r="R186"/>
  <c r="P186"/>
  <c r="N186"/>
  <c r="L186"/>
  <c r="J186"/>
  <c r="H186"/>
  <c r="F186"/>
  <c r="D186"/>
  <c r="R184"/>
  <c r="P184"/>
  <c r="N184"/>
  <c r="L184"/>
  <c r="J184"/>
  <c r="H184"/>
  <c r="F184"/>
  <c r="D184"/>
  <c r="R182"/>
  <c r="P182"/>
  <c r="N182"/>
  <c r="L182"/>
  <c r="J182"/>
  <c r="H182"/>
  <c r="F182"/>
  <c r="D182"/>
  <c r="R180"/>
  <c r="P180"/>
  <c r="N180"/>
  <c r="L180"/>
  <c r="J180"/>
  <c r="H180"/>
  <c r="F180"/>
  <c r="D180"/>
  <c r="R178"/>
  <c r="P178"/>
  <c r="N178"/>
  <c r="L178"/>
  <c r="J178"/>
  <c r="H178"/>
  <c r="F178"/>
  <c r="D178"/>
  <c r="R176"/>
  <c r="P176"/>
  <c r="N176"/>
  <c r="L176"/>
  <c r="J176"/>
  <c r="H176"/>
  <c r="F176"/>
  <c r="D176"/>
  <c r="R174"/>
  <c r="P174"/>
  <c r="N174"/>
  <c r="L174"/>
  <c r="J174"/>
  <c r="H174"/>
  <c r="F174"/>
  <c r="D174"/>
  <c r="J173"/>
  <c r="R172"/>
  <c r="P172"/>
  <c r="N172"/>
  <c r="L172"/>
  <c r="H172"/>
  <c r="T171"/>
  <c r="AV145"/>
  <c r="T145"/>
  <c r="T143"/>
  <c r="T141"/>
  <c r="T140"/>
  <c r="T139"/>
  <c r="T138"/>
  <c r="T137"/>
  <c r="T136"/>
  <c r="T135"/>
  <c r="T134"/>
  <c r="T133"/>
  <c r="T132"/>
  <c r="T131"/>
  <c r="T130"/>
  <c r="T129"/>
  <c r="T128"/>
  <c r="T127"/>
  <c r="T126"/>
  <c r="T125"/>
  <c r="AO100"/>
  <c r="T94"/>
  <c r="AQ92"/>
  <c r="BE88"/>
  <c r="T87"/>
  <c r="G95" i="35"/>
  <c r="G93"/>
  <c r="G91"/>
  <c r="G88"/>
  <c r="G86"/>
  <c r="G84"/>
  <c r="G82"/>
  <c r="G80"/>
  <c r="G78"/>
  <c r="G76"/>
  <c r="G74"/>
  <c r="G72"/>
  <c r="G70"/>
  <c r="G68"/>
  <c r="G66"/>
  <c r="G62"/>
  <c r="H49" i="32"/>
  <c r="D36"/>
  <c r="K36" s="1"/>
  <c r="H34"/>
  <c r="F208" i="34"/>
  <c r="T208" s="1"/>
  <c r="H27" i="32"/>
  <c r="D27"/>
  <c r="D25"/>
  <c r="K25" s="1"/>
  <c r="H25"/>
  <c r="D23"/>
  <c r="K23" s="1"/>
  <c r="H21"/>
  <c r="D21"/>
  <c r="D19"/>
  <c r="K19" s="1"/>
  <c r="H19"/>
  <c r="H17"/>
  <c r="D17"/>
  <c r="K17" s="1"/>
  <c r="H15"/>
  <c r="H13"/>
  <c r="O13"/>
  <c r="P13" s="1"/>
  <c r="Q13" s="1"/>
  <c r="AK19" i="17"/>
  <c r="AK20" s="1"/>
  <c r="AO70" i="25"/>
  <c r="AO85"/>
  <c r="AO81"/>
  <c r="AO80"/>
  <c r="AO63"/>
  <c r="BU70"/>
  <c r="BQ70"/>
  <c r="BM70"/>
  <c r="F531" i="30"/>
  <c r="BR70" i="25"/>
  <c r="BP70"/>
  <c r="BN70"/>
  <c r="D26" i="32"/>
  <c r="K26" s="1"/>
  <c r="D24"/>
  <c r="H24"/>
  <c r="D22"/>
  <c r="K22" s="1"/>
  <c r="H22"/>
  <c r="D20"/>
  <c r="K20" s="1"/>
  <c r="D18"/>
  <c r="H18"/>
  <c r="D16"/>
  <c r="K16" s="1"/>
  <c r="H14"/>
  <c r="D14"/>
  <c r="O14"/>
  <c r="P14" s="1"/>
  <c r="Q14" s="1"/>
  <c r="H12"/>
  <c r="D12"/>
  <c r="K12" s="1"/>
  <c r="O12"/>
  <c r="P12" s="1"/>
  <c r="Q12" s="1"/>
  <c r="AO82" i="25"/>
  <c r="AO65"/>
  <c r="AO44"/>
  <c r="AO31"/>
  <c r="AO29"/>
  <c r="AK79"/>
  <c r="AK78"/>
  <c r="AK77"/>
  <c r="AO77" s="1"/>
  <c r="AL75"/>
  <c r="AO75" s="1"/>
  <c r="AL73"/>
  <c r="AL71"/>
  <c r="AL69"/>
  <c r="AO69" s="1"/>
  <c r="AK68"/>
  <c r="AO68" s="1"/>
  <c r="AM66"/>
  <c r="AM64"/>
  <c r="AH64"/>
  <c r="BY64" s="1"/>
  <c r="AK61"/>
  <c r="AO61" s="1"/>
  <c r="AK60"/>
  <c r="AO60" s="1"/>
  <c r="AK59"/>
  <c r="AN58"/>
  <c r="AO58" s="1"/>
  <c r="AN57"/>
  <c r="AN56"/>
  <c r="AN55"/>
  <c r="AN54"/>
  <c r="AK52"/>
  <c r="AO52" s="1"/>
  <c r="AK51"/>
  <c r="AO51" s="1"/>
  <c r="AK50"/>
  <c r="AO50" s="1"/>
  <c r="AK49"/>
  <c r="AO49" s="1"/>
  <c r="AK48"/>
  <c r="AK47"/>
  <c r="AK46"/>
  <c r="AO46" s="1"/>
  <c r="AK45"/>
  <c r="AM43"/>
  <c r="AO43" s="1"/>
  <c r="AN42"/>
  <c r="AO42" s="1"/>
  <c r="AK40"/>
  <c r="X40"/>
  <c r="BO40" s="1"/>
  <c r="AN40"/>
  <c r="AK39"/>
  <c r="X39"/>
  <c r="BO39" s="1"/>
  <c r="AN39"/>
  <c r="X38"/>
  <c r="BO38" s="1"/>
  <c r="AN38"/>
  <c r="AO38" s="1"/>
  <c r="X37"/>
  <c r="BO37" s="1"/>
  <c r="AN37"/>
  <c r="X36"/>
  <c r="BO36" s="1"/>
  <c r="AN36"/>
  <c r="AO36" s="1"/>
  <c r="AN35"/>
  <c r="AO35" s="1"/>
  <c r="AN34"/>
  <c r="AN33"/>
  <c r="AO33" s="1"/>
  <c r="AN27"/>
  <c r="AN26"/>
  <c r="AK25"/>
  <c r="AK24"/>
  <c r="AK23"/>
  <c r="AK22"/>
  <c r="AK21"/>
  <c r="AK20"/>
  <c r="AK19"/>
  <c r="AK18"/>
  <c r="AK17"/>
  <c r="AK16"/>
  <c r="AK15"/>
  <c r="AK14"/>
  <c r="AK12"/>
  <c r="AO12" s="1"/>
  <c r="AK11"/>
  <c r="AO11" s="1"/>
  <c r="Z11"/>
  <c r="BQ11" s="1"/>
  <c r="AL10"/>
  <c r="AO10" s="1"/>
  <c r="AL9"/>
  <c r="AO9" s="1"/>
  <c r="AN8"/>
  <c r="AO8" s="1"/>
  <c r="AN7"/>
  <c r="AO7" s="1"/>
  <c r="AK6"/>
  <c r="X6"/>
  <c r="BO6" s="1"/>
  <c r="AN6"/>
  <c r="AK5"/>
  <c r="X5"/>
  <c r="BO5" s="1"/>
  <c r="AN5"/>
  <c r="AM4"/>
  <c r="AO4" s="1"/>
  <c r="AJ80" i="17"/>
  <c r="AJ78"/>
  <c r="BN73"/>
  <c r="BP72"/>
  <c r="CA70"/>
  <c r="BQ70"/>
  <c r="BN69"/>
  <c r="BP68"/>
  <c r="AJ54"/>
  <c r="AJ48"/>
  <c r="AJ46"/>
  <c r="AJ44"/>
  <c r="BP29"/>
  <c r="BP27"/>
  <c r="AJ20"/>
  <c r="BC146" i="34"/>
  <c r="AY146"/>
  <c r="AS146"/>
  <c r="AQ146"/>
  <c r="AS121"/>
  <c r="AS120"/>
  <c r="AS118"/>
  <c r="AS117"/>
  <c r="T116"/>
  <c r="T113"/>
  <c r="AU110"/>
  <c r="AS109"/>
  <c r="AS108"/>
  <c r="AP107"/>
  <c r="T106"/>
  <c r="T101"/>
  <c r="AU100"/>
  <c r="T95"/>
  <c r="AU94"/>
  <c r="AU92"/>
  <c r="T89"/>
  <c r="AQ88"/>
  <c r="K173" i="33"/>
  <c r="I173"/>
  <c r="G173"/>
  <c r="E173"/>
  <c r="K172"/>
  <c r="I172"/>
  <c r="E172"/>
  <c r="AP152"/>
  <c r="AP151"/>
  <c r="AP150"/>
  <c r="AP149"/>
  <c r="AP148"/>
  <c r="AP147"/>
  <c r="AP146"/>
  <c r="AU145"/>
  <c r="AO145"/>
  <c r="AO144"/>
  <c r="AO143"/>
  <c r="G92" i="35"/>
  <c r="S238" i="33"/>
  <c r="S236"/>
  <c r="S234"/>
  <c r="S232"/>
  <c r="S230"/>
  <c r="S228"/>
  <c r="S226"/>
  <c r="S224"/>
  <c r="S222"/>
  <c r="S220"/>
  <c r="S218"/>
  <c r="S216"/>
  <c r="S214"/>
  <c r="S212"/>
  <c r="S210"/>
  <c r="S208"/>
  <c r="S206"/>
  <c r="S204"/>
  <c r="R237"/>
  <c r="R235"/>
  <c r="R233"/>
  <c r="R231"/>
  <c r="R229"/>
  <c r="R227"/>
  <c r="R225"/>
  <c r="R223"/>
  <c r="R221"/>
  <c r="R219"/>
  <c r="R217"/>
  <c r="R215"/>
  <c r="R213"/>
  <c r="R211"/>
  <c r="R209"/>
  <c r="R207"/>
  <c r="R205"/>
  <c r="Q238"/>
  <c r="Q236"/>
  <c r="Q234"/>
  <c r="Q232"/>
  <c r="Q230"/>
  <c r="Q228"/>
  <c r="Q226"/>
  <c r="Q224"/>
  <c r="Q222"/>
  <c r="Q220"/>
  <c r="Q218"/>
  <c r="Q216"/>
  <c r="Q214"/>
  <c r="Q212"/>
  <c r="Q210"/>
  <c r="Q208"/>
  <c r="Q206"/>
  <c r="Q204"/>
  <c r="P237"/>
  <c r="P235"/>
  <c r="P233"/>
  <c r="P231"/>
  <c r="P229"/>
  <c r="P227"/>
  <c r="P225"/>
  <c r="P223"/>
  <c r="P221"/>
  <c r="P219"/>
  <c r="P217"/>
  <c r="P215"/>
  <c r="P213"/>
  <c r="P211"/>
  <c r="P209"/>
  <c r="P207"/>
  <c r="P205"/>
  <c r="N238"/>
  <c r="N236"/>
  <c r="N234"/>
  <c r="N232"/>
  <c r="N230"/>
  <c r="N228"/>
  <c r="N226"/>
  <c r="N224"/>
  <c r="N222"/>
  <c r="N220"/>
  <c r="N218"/>
  <c r="N216"/>
  <c r="N214"/>
  <c r="N212"/>
  <c r="N210"/>
  <c r="N208"/>
  <c r="N206"/>
  <c r="N204"/>
  <c r="L237"/>
  <c r="L235"/>
  <c r="L233"/>
  <c r="L231"/>
  <c r="L229"/>
  <c r="L227"/>
  <c r="L225"/>
  <c r="L223"/>
  <c r="L221"/>
  <c r="L219"/>
  <c r="L217"/>
  <c r="L215"/>
  <c r="L213"/>
  <c r="L211"/>
  <c r="L209"/>
  <c r="L207"/>
  <c r="L205"/>
  <c r="H236" i="34"/>
  <c r="H234"/>
  <c r="H232"/>
  <c r="H230"/>
  <c r="I236"/>
  <c r="I234"/>
  <c r="I232"/>
  <c r="I230"/>
  <c r="J236"/>
  <c r="J234"/>
  <c r="J232"/>
  <c r="J230"/>
  <c r="H238" i="33"/>
  <c r="H236"/>
  <c r="H234"/>
  <c r="H232"/>
  <c r="I238"/>
  <c r="I236"/>
  <c r="I234"/>
  <c r="I232"/>
  <c r="J238"/>
  <c r="J236"/>
  <c r="J234"/>
  <c r="J232"/>
  <c r="AN73" i="25"/>
  <c r="AI73"/>
  <c r="BZ73" s="1"/>
  <c r="L561" i="30" s="1"/>
  <c r="AE73" i="25"/>
  <c r="BV73" s="1"/>
  <c r="AA73"/>
  <c r="D559" i="30" s="1"/>
  <c r="X73" i="25"/>
  <c r="BO73" s="1"/>
  <c r="W73"/>
  <c r="G531" i="30" s="1"/>
  <c r="AN71" i="25"/>
  <c r="AO71" s="1"/>
  <c r="AI71"/>
  <c r="BZ71" s="1"/>
  <c r="AE71"/>
  <c r="BV71" s="1"/>
  <c r="AA71"/>
  <c r="BR71" s="1"/>
  <c r="W71"/>
  <c r="BN71" s="1"/>
  <c r="AI69"/>
  <c r="BZ69" s="1"/>
  <c r="AE69"/>
  <c r="BV69" s="1"/>
  <c r="AA69"/>
  <c r="BR69" s="1"/>
  <c r="W69"/>
  <c r="BN69" s="1"/>
  <c r="AM62"/>
  <c r="AO62" s="1"/>
  <c r="AM57"/>
  <c r="AO57" s="1"/>
  <c r="V57"/>
  <c r="BM57" s="1"/>
  <c r="AM56"/>
  <c r="V56"/>
  <c r="BM56" s="1"/>
  <c r="AM55"/>
  <c r="AO55" s="1"/>
  <c r="V55"/>
  <c r="BM55" s="1"/>
  <c r="AM54"/>
  <c r="AO54" s="1"/>
  <c r="V54"/>
  <c r="BM54" s="1"/>
  <c r="AM53"/>
  <c r="AO53" s="1"/>
  <c r="AM28"/>
  <c r="V28"/>
  <c r="BM28" s="1"/>
  <c r="AM27"/>
  <c r="AO27" s="1"/>
  <c r="V27"/>
  <c r="BM27" s="1"/>
  <c r="AM26"/>
  <c r="AN25"/>
  <c r="AO25" s="1"/>
  <c r="AN24"/>
  <c r="AN23"/>
  <c r="AN22"/>
  <c r="AN21"/>
  <c r="AO21" s="1"/>
  <c r="AN20"/>
  <c r="AH20"/>
  <c r="BY20" s="1"/>
  <c r="AD20"/>
  <c r="BU20" s="1"/>
  <c r="AN19"/>
  <c r="AN18"/>
  <c r="Z18"/>
  <c r="BQ18" s="1"/>
  <c r="AN17"/>
  <c r="AN16"/>
  <c r="AN15"/>
  <c r="Z15"/>
  <c r="BQ15" s="1"/>
  <c r="AN14"/>
  <c r="AN13"/>
  <c r="AO13" s="1"/>
  <c r="AH13"/>
  <c r="BY13" s="1"/>
  <c r="AG13"/>
  <c r="BX13" s="1"/>
  <c r="AD13"/>
  <c r="BU13" s="1"/>
  <c r="AC13"/>
  <c r="BT13" s="1"/>
  <c r="Z13"/>
  <c r="BQ13" s="1"/>
  <c r="Y13"/>
  <c r="BP13" s="1"/>
  <c r="V13"/>
  <c r="BM13" s="1"/>
  <c r="U13"/>
  <c r="BL13" s="1"/>
  <c r="X9"/>
  <c r="BO9" s="1"/>
  <c r="V8"/>
  <c r="BM8" s="1"/>
  <c r="BO76" i="17"/>
  <c r="AJ7"/>
  <c r="T169" i="34"/>
  <c r="AO119" i="33"/>
  <c r="AO117"/>
  <c r="AO115"/>
  <c r="AO113"/>
  <c r="AO111"/>
  <c r="AO109"/>
  <c r="AO107"/>
  <c r="AO105"/>
  <c r="AO103"/>
  <c r="AO101"/>
  <c r="AO98"/>
  <c r="AO96"/>
  <c r="AQ94"/>
  <c r="H199" i="34"/>
  <c r="I199"/>
  <c r="J199"/>
  <c r="S237" i="33"/>
  <c r="S235"/>
  <c r="S233"/>
  <c r="S231"/>
  <c r="S229"/>
  <c r="S227"/>
  <c r="S225"/>
  <c r="S223"/>
  <c r="S221"/>
  <c r="S219"/>
  <c r="S217"/>
  <c r="S215"/>
  <c r="S213"/>
  <c r="S211"/>
  <c r="S209"/>
  <c r="S207"/>
  <c r="R238"/>
  <c r="R236"/>
  <c r="R234"/>
  <c r="R232"/>
  <c r="R230"/>
  <c r="R228"/>
  <c r="R226"/>
  <c r="R224"/>
  <c r="R222"/>
  <c r="R220"/>
  <c r="R218"/>
  <c r="R216"/>
  <c r="R214"/>
  <c r="R212"/>
  <c r="R210"/>
  <c r="R208"/>
  <c r="R206"/>
  <c r="Q237"/>
  <c r="Q235"/>
  <c r="Q233"/>
  <c r="Q231"/>
  <c r="Q229"/>
  <c r="Q227"/>
  <c r="Q225"/>
  <c r="Q223"/>
  <c r="Q221"/>
  <c r="Q219"/>
  <c r="Q217"/>
  <c r="Q215"/>
  <c r="Q213"/>
  <c r="Q211"/>
  <c r="Q209"/>
  <c r="Q207"/>
  <c r="P238"/>
  <c r="P236"/>
  <c r="P234"/>
  <c r="P232"/>
  <c r="P230"/>
  <c r="P228"/>
  <c r="P226"/>
  <c r="P224"/>
  <c r="P222"/>
  <c r="P220"/>
  <c r="P218"/>
  <c r="P216"/>
  <c r="P214"/>
  <c r="P212"/>
  <c r="P210"/>
  <c r="P208"/>
  <c r="P206"/>
  <c r="N237"/>
  <c r="N235"/>
  <c r="N233"/>
  <c r="N231"/>
  <c r="N229"/>
  <c r="T229" s="1"/>
  <c r="N227"/>
  <c r="N225"/>
  <c r="N223"/>
  <c r="N221"/>
  <c r="T221" s="1"/>
  <c r="N219"/>
  <c r="N217"/>
  <c r="N215"/>
  <c r="N213"/>
  <c r="N211"/>
  <c r="N209"/>
  <c r="T209" s="1"/>
  <c r="N207"/>
  <c r="L238"/>
  <c r="L236"/>
  <c r="L234"/>
  <c r="L232"/>
  <c r="L230"/>
  <c r="T230" s="1"/>
  <c r="L228"/>
  <c r="L226"/>
  <c r="T226" s="1"/>
  <c r="L224"/>
  <c r="L222"/>
  <c r="T222" s="1"/>
  <c r="L220"/>
  <c r="L218"/>
  <c r="T218" s="1"/>
  <c r="L216"/>
  <c r="L214"/>
  <c r="L212"/>
  <c r="L210"/>
  <c r="T210" s="1"/>
  <c r="L208"/>
  <c r="L206"/>
  <c r="T206" s="1"/>
  <c r="H229" i="34"/>
  <c r="H235"/>
  <c r="H233"/>
  <c r="I229"/>
  <c r="I235"/>
  <c r="I233"/>
  <c r="J229"/>
  <c r="J235"/>
  <c r="J233"/>
  <c r="H231" i="33"/>
  <c r="H237"/>
  <c r="H235"/>
  <c r="I231"/>
  <c r="I237"/>
  <c r="I235"/>
  <c r="J231"/>
  <c r="J237"/>
  <c r="J235"/>
  <c r="T194"/>
  <c r="T198"/>
  <c r="BW70" i="25"/>
  <c r="AS122" i="34"/>
  <c r="T122"/>
  <c r="T196" i="33"/>
  <c r="T200"/>
  <c r="T202"/>
  <c r="T203"/>
  <c r="E530" i="30"/>
  <c r="U80" i="33"/>
  <c r="U79" s="1"/>
  <c r="BV70" i="25"/>
  <c r="BZ70"/>
  <c r="BY70"/>
  <c r="K559" i="30"/>
  <c r="T214" i="33"/>
  <c r="T213"/>
  <c r="BT70" i="25"/>
  <c r="BX70"/>
  <c r="BK70"/>
  <c r="D531" i="30"/>
  <c r="T219" i="33"/>
  <c r="I584" i="30"/>
  <c r="T237" i="33"/>
  <c r="T208"/>
  <c r="T216"/>
  <c r="T224"/>
  <c r="T238"/>
  <c r="T232" i="34"/>
  <c r="T236"/>
  <c r="T217" i="33"/>
  <c r="T225"/>
  <c r="AO6" i="25"/>
  <c r="AO20"/>
  <c r="AO40"/>
  <c r="T228" i="33"/>
  <c r="J584" i="30"/>
  <c r="J590" s="1"/>
  <c r="T232" i="33"/>
  <c r="T230" i="34"/>
  <c r="T211" i="33"/>
  <c r="T223"/>
  <c r="AO15" i="25"/>
  <c r="AO17"/>
  <c r="AO19"/>
  <c r="AO23"/>
  <c r="AO39"/>
  <c r="L568" i="30"/>
  <c r="B684"/>
  <c r="D13" i="32" l="1"/>
  <c r="K13" s="1"/>
  <c r="D15"/>
  <c r="K15" s="1"/>
  <c r="H23"/>
  <c r="D590" i="30"/>
  <c r="H44" i="32"/>
  <c r="K584" i="30"/>
  <c r="H559"/>
  <c r="I559"/>
  <c r="H533"/>
  <c r="H561"/>
  <c r="G560"/>
  <c r="H16" i="32"/>
  <c r="H20"/>
  <c r="H26"/>
  <c r="E559" i="30"/>
  <c r="F533"/>
  <c r="D533"/>
  <c r="I561"/>
  <c r="K561"/>
  <c r="H588"/>
  <c r="H590" s="1"/>
  <c r="H612"/>
  <c r="F612"/>
  <c r="I583"/>
  <c r="K616"/>
  <c r="G616"/>
  <c r="G618" s="1"/>
  <c r="H615"/>
  <c r="H617" s="1"/>
  <c r="J611"/>
  <c r="B5"/>
  <c r="A352" s="1"/>
  <c r="K611"/>
  <c r="G615"/>
  <c r="J616"/>
  <c r="H587"/>
  <c r="G588"/>
  <c r="K588"/>
  <c r="I555"/>
  <c r="H560"/>
  <c r="K612"/>
  <c r="G587"/>
  <c r="G589" s="1"/>
  <c r="I587"/>
  <c r="K587"/>
  <c r="I615"/>
  <c r="I532"/>
  <c r="H532"/>
  <c r="I560"/>
  <c r="L616"/>
  <c r="E616"/>
  <c r="L615"/>
  <c r="L617" s="1"/>
  <c r="D615"/>
  <c r="D617" s="1"/>
  <c r="D611"/>
  <c r="F588"/>
  <c r="F590" s="1"/>
  <c r="F587"/>
  <c r="D587"/>
  <c r="F583"/>
  <c r="D583"/>
  <c r="L560"/>
  <c r="E560"/>
  <c r="L555"/>
  <c r="E555"/>
  <c r="E532"/>
  <c r="F527"/>
  <c r="D527"/>
  <c r="H42" i="32"/>
  <c r="E611" i="30"/>
  <c r="E617" s="1"/>
  <c r="G527"/>
  <c r="H38" i="32"/>
  <c r="H36"/>
  <c r="F611" i="30"/>
  <c r="F617" s="1"/>
  <c r="I527"/>
  <c r="H555"/>
  <c r="H583"/>
  <c r="H589" s="1"/>
  <c r="I611"/>
  <c r="I617" s="1"/>
  <c r="D2" i="32"/>
  <c r="K582" i="30"/>
  <c r="F455"/>
  <c r="F595"/>
  <c r="G582"/>
  <c r="H582"/>
  <c r="K613"/>
  <c r="D42" i="32"/>
  <c r="K42" s="1"/>
  <c r="T199" i="34"/>
  <c r="T235" i="33"/>
  <c r="R201"/>
  <c r="P201"/>
  <c r="N201"/>
  <c r="L201"/>
  <c r="J201"/>
  <c r="H201"/>
  <c r="D201"/>
  <c r="R199"/>
  <c r="P199"/>
  <c r="N199"/>
  <c r="L199"/>
  <c r="J199"/>
  <c r="H199"/>
  <c r="F199"/>
  <c r="D199"/>
  <c r="T199" s="1"/>
  <c r="P190"/>
  <c r="L183"/>
  <c r="N181"/>
  <c r="T201"/>
  <c r="D455" i="30"/>
  <c r="E455"/>
  <c r="E610"/>
  <c r="E586"/>
  <c r="A420"/>
  <c r="D613"/>
  <c r="A39"/>
  <c r="E570"/>
  <c r="F568"/>
  <c r="I568"/>
  <c r="F540"/>
  <c r="A56"/>
  <c r="E614"/>
  <c r="H595"/>
  <c r="J582"/>
  <c r="A356"/>
  <c r="D623"/>
  <c r="H610"/>
  <c r="F570"/>
  <c r="D565"/>
  <c r="I537"/>
  <c r="J565"/>
  <c r="E595"/>
  <c r="J617"/>
  <c r="C425"/>
  <c r="C431"/>
  <c r="Y52" i="25"/>
  <c r="BP52" s="1"/>
  <c r="C50" i="30"/>
  <c r="AD79" i="25"/>
  <c r="BU79" s="1"/>
  <c r="Z80"/>
  <c r="BQ80" s="1"/>
  <c r="X79"/>
  <c r="BO79" s="1"/>
  <c r="AI77"/>
  <c r="BZ77" s="1"/>
  <c r="X77"/>
  <c r="BO77" s="1"/>
  <c r="AF66"/>
  <c r="BW66" s="1"/>
  <c r="AC65"/>
  <c r="BT65" s="1"/>
  <c r="AA65"/>
  <c r="BR65" s="1"/>
  <c r="Y65"/>
  <c r="BP65" s="1"/>
  <c r="W65"/>
  <c r="BN65" s="1"/>
  <c r="U65"/>
  <c r="BL65" s="1"/>
  <c r="V43"/>
  <c r="BM43" s="1"/>
  <c r="AI30"/>
  <c r="BZ30" s="1"/>
  <c r="AA30"/>
  <c r="BR30" s="1"/>
  <c r="Y30"/>
  <c r="BP30" s="1"/>
  <c r="Y18"/>
  <c r="BP18" s="1"/>
  <c r="AI11"/>
  <c r="BZ11" s="1"/>
  <c r="AH8"/>
  <c r="BY8" s="1"/>
  <c r="AD8"/>
  <c r="BU8" s="1"/>
  <c r="AG5"/>
  <c r="BX5" s="1"/>
  <c r="CO5" s="1"/>
  <c r="DA5" i="17"/>
  <c r="CW5"/>
  <c r="CD5"/>
  <c r="R197" i="33"/>
  <c r="P197"/>
  <c r="N197"/>
  <c r="L197"/>
  <c r="J197"/>
  <c r="H197"/>
  <c r="F197"/>
  <c r="D197"/>
  <c r="R195"/>
  <c r="P195"/>
  <c r="N195"/>
  <c r="L195"/>
  <c r="J195"/>
  <c r="H195"/>
  <c r="F195"/>
  <c r="D195"/>
  <c r="T195" s="1"/>
  <c r="R193"/>
  <c r="P193"/>
  <c r="N193"/>
  <c r="L193"/>
  <c r="J193"/>
  <c r="H193"/>
  <c r="F193"/>
  <c r="D193"/>
  <c r="T193" s="1"/>
  <c r="P191"/>
  <c r="P189"/>
  <c r="L187"/>
  <c r="N185"/>
  <c r="D185"/>
  <c r="F181"/>
  <c r="T231"/>
  <c r="T233" i="34"/>
  <c r="T229"/>
  <c r="T235"/>
  <c r="T221"/>
  <c r="T215"/>
  <c r="T231"/>
  <c r="T214"/>
  <c r="T226"/>
  <c r="T205"/>
  <c r="Y51" i="25"/>
  <c r="BP51" s="1"/>
  <c r="AE18"/>
  <c r="BV18" s="1"/>
  <c r="AA18"/>
  <c r="BR18" s="1"/>
  <c r="AB18"/>
  <c r="BS18" s="1"/>
  <c r="X17"/>
  <c r="BO17" s="1"/>
  <c r="V17"/>
  <c r="BM17" s="1"/>
  <c r="D44" i="32"/>
  <c r="K44" s="1"/>
  <c r="T236" i="33"/>
  <c r="T234" i="34"/>
  <c r="T207" i="33"/>
  <c r="T215"/>
  <c r="T227"/>
  <c r="T212"/>
  <c r="T220"/>
  <c r="AO16" i="25"/>
  <c r="AO24"/>
  <c r="AO73"/>
  <c r="AE79"/>
  <c r="BV79" s="1"/>
  <c r="AE53"/>
  <c r="BV53" s="1"/>
  <c r="X53"/>
  <c r="BO53" s="1"/>
  <c r="AI42"/>
  <c r="BZ42" s="1"/>
  <c r="AG42"/>
  <c r="BX42" s="1"/>
  <c r="AE42"/>
  <c r="BV42" s="1"/>
  <c r="AC42"/>
  <c r="BT42" s="1"/>
  <c r="AA42"/>
  <c r="BR42" s="1"/>
  <c r="Y42"/>
  <c r="BP42" s="1"/>
  <c r="W42"/>
  <c r="BN42" s="1"/>
  <c r="U42"/>
  <c r="BL42" s="1"/>
  <c r="E178" i="34"/>
  <c r="BV88"/>
  <c r="BL88"/>
  <c r="S192" i="33"/>
  <c r="M192"/>
  <c r="I192"/>
  <c r="E192"/>
  <c r="O188"/>
  <c r="G188"/>
  <c r="C187"/>
  <c r="G186"/>
  <c r="E185"/>
  <c r="C185"/>
  <c r="G184"/>
  <c r="C183"/>
  <c r="G182"/>
  <c r="E181"/>
  <c r="C181"/>
  <c r="G180"/>
  <c r="O179"/>
  <c r="G179"/>
  <c r="Q178"/>
  <c r="H585" i="30"/>
  <c r="J585"/>
  <c r="D595"/>
  <c r="D569"/>
  <c r="B734"/>
  <c r="B737" s="1"/>
  <c r="T234" i="33"/>
  <c r="AO26" i="25"/>
  <c r="AF80"/>
  <c r="BW80" s="1"/>
  <c r="Z73"/>
  <c r="AN59"/>
  <c r="AI56"/>
  <c r="BZ56" s="1"/>
  <c r="AC55"/>
  <c r="BT55" s="1"/>
  <c r="AA55"/>
  <c r="BR55" s="1"/>
  <c r="AK41"/>
  <c r="AO41" s="1"/>
  <c r="AG25"/>
  <c r="BX25" s="1"/>
  <c r="AC17"/>
  <c r="BT17" s="1"/>
  <c r="H41" i="32"/>
  <c r="AO59" i="25"/>
  <c r="G559" i="30"/>
  <c r="AF84" i="25"/>
  <c r="BW84" s="1"/>
  <c r="AD85"/>
  <c r="BU85" s="1"/>
  <c r="AD81"/>
  <c r="BU81" s="1"/>
  <c r="T81"/>
  <c r="BK81" s="1"/>
  <c r="V63"/>
  <c r="BM63" s="1"/>
  <c r="AG51"/>
  <c r="BX51" s="1"/>
  <c r="T38"/>
  <c r="BK38" s="1"/>
  <c r="AH36"/>
  <c r="BY36" s="1"/>
  <c r="T36"/>
  <c r="BK36" s="1"/>
  <c r="AD30"/>
  <c r="BU30" s="1"/>
  <c r="X15"/>
  <c r="BO15" s="1"/>
  <c r="AQ36" i="17"/>
  <c r="T204" i="33"/>
  <c r="Z26"/>
  <c r="D45" i="32"/>
  <c r="K45" s="1"/>
  <c r="H43"/>
  <c r="C474" i="30"/>
  <c r="L570"/>
  <c r="I590"/>
  <c r="K589"/>
  <c r="K623"/>
  <c r="J613"/>
  <c r="AD84" i="25"/>
  <c r="BU84" s="1"/>
  <c r="AD75"/>
  <c r="BU75" s="1"/>
  <c r="Z72"/>
  <c r="BQ72" s="1"/>
  <c r="AF71"/>
  <c r="BW71" s="1"/>
  <c r="AB71"/>
  <c r="BS71" s="1"/>
  <c r="AD83"/>
  <c r="BU83" s="1"/>
  <c r="AN79"/>
  <c r="AO79" s="1"/>
  <c r="W80"/>
  <c r="BN80" s="1"/>
  <c r="AB75"/>
  <c r="BS75" s="1"/>
  <c r="AH74"/>
  <c r="BY74" s="1"/>
  <c r="V74"/>
  <c r="BM74" s="1"/>
  <c r="T74"/>
  <c r="BK74" s="1"/>
  <c r="AH72"/>
  <c r="BY72" s="1"/>
  <c r="Y73"/>
  <c r="AB68"/>
  <c r="BS68" s="1"/>
  <c r="AC64"/>
  <c r="BT64" s="1"/>
  <c r="V64"/>
  <c r="BM64" s="1"/>
  <c r="AG63"/>
  <c r="BX63" s="1"/>
  <c r="AA60"/>
  <c r="BR60" s="1"/>
  <c r="U60"/>
  <c r="BL60" s="1"/>
  <c r="T60"/>
  <c r="BK60" s="1"/>
  <c r="AF58"/>
  <c r="BW58" s="1"/>
  <c r="X58"/>
  <c r="BO58" s="1"/>
  <c r="AF57"/>
  <c r="BW57" s="1"/>
  <c r="AD57"/>
  <c r="BU57" s="1"/>
  <c r="AB57"/>
  <c r="BS57" s="1"/>
  <c r="X57"/>
  <c r="BO57" s="1"/>
  <c r="AK56"/>
  <c r="AI51"/>
  <c r="BZ51" s="1"/>
  <c r="AG52"/>
  <c r="BX52" s="1"/>
  <c r="AE51"/>
  <c r="BV51" s="1"/>
  <c r="AC52"/>
  <c r="BT52" s="1"/>
  <c r="AA51"/>
  <c r="BR51" s="1"/>
  <c r="W51"/>
  <c r="BN51" s="1"/>
  <c r="U51"/>
  <c r="BL51" s="1"/>
  <c r="T51"/>
  <c r="BK51" s="1"/>
  <c r="AE47"/>
  <c r="BV47" s="1"/>
  <c r="AA47"/>
  <c r="BR47" s="1"/>
  <c r="Z46"/>
  <c r="BQ46" s="1"/>
  <c r="T47"/>
  <c r="BK47" s="1"/>
  <c r="W46"/>
  <c r="BN46" s="1"/>
  <c r="AH38"/>
  <c r="BY38" s="1"/>
  <c r="AF38"/>
  <c r="BW38" s="1"/>
  <c r="AI38"/>
  <c r="BZ38" s="1"/>
  <c r="AE35"/>
  <c r="BV35" s="1"/>
  <c r="Y35"/>
  <c r="BP35" s="1"/>
  <c r="W35"/>
  <c r="BN35" s="1"/>
  <c r="U35"/>
  <c r="BL35" s="1"/>
  <c r="T34"/>
  <c r="BK34" s="1"/>
  <c r="AI31"/>
  <c r="BZ31" s="1"/>
  <c r="AH26"/>
  <c r="BY26" s="1"/>
  <c r="T26"/>
  <c r="BK26" s="1"/>
  <c r="W18"/>
  <c r="BN18" s="1"/>
  <c r="AD17"/>
  <c r="BU17" s="1"/>
  <c r="X16"/>
  <c r="BO16" s="1"/>
  <c r="T17"/>
  <c r="BK17" s="1"/>
  <c r="AH15"/>
  <c r="BY15" s="1"/>
  <c r="AD15"/>
  <c r="BU15" s="1"/>
  <c r="AE15"/>
  <c r="BV15" s="1"/>
  <c r="W15"/>
  <c r="BN15" s="1"/>
  <c r="AA11"/>
  <c r="BR11" s="1"/>
  <c r="Y11"/>
  <c r="BP11" s="1"/>
  <c r="W12"/>
  <c r="BN12" s="1"/>
  <c r="U11"/>
  <c r="BL11" s="1"/>
  <c r="AH10"/>
  <c r="BY10" s="1"/>
  <c r="AD10"/>
  <c r="BU10" s="1"/>
  <c r="Z10"/>
  <c r="BQ10" s="1"/>
  <c r="AC9"/>
  <c r="BT9" s="1"/>
  <c r="Z8"/>
  <c r="BQ8" s="1"/>
  <c r="T8"/>
  <c r="BK8" s="1"/>
  <c r="AH7"/>
  <c r="BY7" s="1"/>
  <c r="T7"/>
  <c r="BK7" s="1"/>
  <c r="CM5" i="17"/>
  <c r="CM6" s="1"/>
  <c r="BV89" i="34"/>
  <c r="H191" i="33"/>
  <c r="H190"/>
  <c r="H189"/>
  <c r="P187"/>
  <c r="H187"/>
  <c r="R185"/>
  <c r="J185"/>
  <c r="P183"/>
  <c r="H183"/>
  <c r="R181"/>
  <c r="J181"/>
  <c r="P177"/>
  <c r="H177"/>
  <c r="P175"/>
  <c r="H175"/>
  <c r="P173"/>
  <c r="BW87"/>
  <c r="BW88" s="1"/>
  <c r="BW89" s="1"/>
  <c r="BW90" s="1"/>
  <c r="Z42"/>
  <c r="H48" i="32"/>
  <c r="H47"/>
  <c r="H45"/>
  <c r="D39"/>
  <c r="K39" s="1"/>
  <c r="D37"/>
  <c r="K37" s="1"/>
  <c r="H33"/>
  <c r="B58" i="6"/>
  <c r="T203" i="34"/>
  <c r="J527" i="30"/>
  <c r="H527"/>
  <c r="Y67" i="25"/>
  <c r="BP67" s="1"/>
  <c r="AA50"/>
  <c r="BR50" s="1"/>
  <c r="Z36"/>
  <c r="BQ36" s="1"/>
  <c r="AI34"/>
  <c r="BZ34" s="1"/>
  <c r="AE34"/>
  <c r="BV34" s="1"/>
  <c r="AC34"/>
  <c r="BT34" s="1"/>
  <c r="AD29"/>
  <c r="BU29" s="1"/>
  <c r="AF23"/>
  <c r="BW23" s="1"/>
  <c r="T19"/>
  <c r="BK19" s="1"/>
  <c r="AG18"/>
  <c r="BX18" s="1"/>
  <c r="BO88" i="34"/>
  <c r="Z8" i="33"/>
  <c r="T204" i="34"/>
  <c r="BW91" i="33"/>
  <c r="BW92" s="1"/>
  <c r="BW93" s="1"/>
  <c r="BW94" s="1"/>
  <c r="BW95" s="1"/>
  <c r="BW96" s="1"/>
  <c r="BW97" s="1"/>
  <c r="BW98" s="1"/>
  <c r="F596" i="30"/>
  <c r="F597" s="1"/>
  <c r="G585"/>
  <c r="AO56" i="25"/>
  <c r="CL5"/>
  <c r="CB5"/>
  <c r="K617" i="30"/>
  <c r="AF85" i="25"/>
  <c r="BW85" s="1"/>
  <c r="X85"/>
  <c r="BO85" s="1"/>
  <c r="T80"/>
  <c r="BK80" s="1"/>
  <c r="AD78"/>
  <c r="BU78" s="1"/>
  <c r="T78"/>
  <c r="BK78" s="1"/>
  <c r="T76"/>
  <c r="BK76" s="1"/>
  <c r="AC77"/>
  <c r="BT77" s="1"/>
  <c r="AA77"/>
  <c r="BR77" s="1"/>
  <c r="AH75"/>
  <c r="BY75" s="1"/>
  <c r="AD71"/>
  <c r="BU71" s="1"/>
  <c r="AH68"/>
  <c r="BY68" s="1"/>
  <c r="AF68"/>
  <c r="BW68" s="1"/>
  <c r="AD68"/>
  <c r="BU68" s="1"/>
  <c r="W68"/>
  <c r="BN68" s="1"/>
  <c r="X68"/>
  <c r="BO68" s="1"/>
  <c r="X64"/>
  <c r="BO64" s="1"/>
  <c r="T64"/>
  <c r="BK64" s="1"/>
  <c r="W56"/>
  <c r="BN56" s="1"/>
  <c r="AB56"/>
  <c r="BS56" s="1"/>
  <c r="AA52"/>
  <c r="BR52" s="1"/>
  <c r="W52"/>
  <c r="BN52" s="1"/>
  <c r="AC51"/>
  <c r="BT51" s="1"/>
  <c r="AI50"/>
  <c r="BZ50" s="1"/>
  <c r="AG50"/>
  <c r="BX50" s="1"/>
  <c r="X41"/>
  <c r="BO41" s="1"/>
  <c r="Y41"/>
  <c r="BP41" s="1"/>
  <c r="AE40"/>
  <c r="BV40" s="1"/>
  <c r="AC40"/>
  <c r="BT40" s="1"/>
  <c r="W39"/>
  <c r="BN39" s="1"/>
  <c r="U40"/>
  <c r="BL40" s="1"/>
  <c r="Z37"/>
  <c r="BQ37" s="1"/>
  <c r="AD37"/>
  <c r="BU37" s="1"/>
  <c r="AB36"/>
  <c r="BS36" s="1"/>
  <c r="AH33"/>
  <c r="BY33" s="1"/>
  <c r="AF33"/>
  <c r="BW33" s="1"/>
  <c r="AD33"/>
  <c r="BU33" s="1"/>
  <c r="AB33"/>
  <c r="BS33" s="1"/>
  <c r="AI33"/>
  <c r="BZ33" s="1"/>
  <c r="AE33"/>
  <c r="BV33" s="1"/>
  <c r="AC33"/>
  <c r="BT33" s="1"/>
  <c r="Y33"/>
  <c r="BP33" s="1"/>
  <c r="W33"/>
  <c r="BN33" s="1"/>
  <c r="AC31"/>
  <c r="BT31" s="1"/>
  <c r="W31"/>
  <c r="BN31" s="1"/>
  <c r="AE30"/>
  <c r="BV30" s="1"/>
  <c r="AD26"/>
  <c r="BU26" s="1"/>
  <c r="Z26"/>
  <c r="BQ26" s="1"/>
  <c r="AF25"/>
  <c r="BW25" s="1"/>
  <c r="Y25"/>
  <c r="BP25" s="1"/>
  <c r="AG21"/>
  <c r="BX21" s="1"/>
  <c r="AE21"/>
  <c r="BV21" s="1"/>
  <c r="Y21"/>
  <c r="BP21" s="1"/>
  <c r="W21"/>
  <c r="BN21" s="1"/>
  <c r="AF20"/>
  <c r="BW20" s="1"/>
  <c r="AB20"/>
  <c r="BS20" s="1"/>
  <c r="X20"/>
  <c r="BO20" s="1"/>
  <c r="V20"/>
  <c r="BM20" s="1"/>
  <c r="AI18"/>
  <c r="BZ18" s="1"/>
  <c r="AH17"/>
  <c r="BY17" s="1"/>
  <c r="AC18"/>
  <c r="BT18" s="1"/>
  <c r="AG11"/>
  <c r="BX11" s="1"/>
  <c r="AE12"/>
  <c r="BV12" s="1"/>
  <c r="X12"/>
  <c r="BO12" s="1"/>
  <c r="V12"/>
  <c r="BM12" s="1"/>
  <c r="T12"/>
  <c r="BK12" s="1"/>
  <c r="AG6"/>
  <c r="BX6" s="1"/>
  <c r="CO6" s="1"/>
  <c r="AI6"/>
  <c r="BZ6" s="1"/>
  <c r="CQ6" s="1"/>
  <c r="CQ7" s="1"/>
  <c r="AF5"/>
  <c r="BW5" s="1"/>
  <c r="CN5" s="1"/>
  <c r="DK11" i="17"/>
  <c r="DI11"/>
  <c r="DG11"/>
  <c r="DE11"/>
  <c r="CZ11"/>
  <c r="CX11"/>
  <c r="DK10"/>
  <c r="DI10"/>
  <c r="DG10"/>
  <c r="DE10"/>
  <c r="CZ10"/>
  <c r="CX10"/>
  <c r="DI8"/>
  <c r="DG8"/>
  <c r="CM7"/>
  <c r="CM8" s="1"/>
  <c r="CM9" s="1"/>
  <c r="CM10" s="1"/>
  <c r="CM11" s="1"/>
  <c r="CM12" s="1"/>
  <c r="CM13" s="1"/>
  <c r="CM14" s="1"/>
  <c r="CZ6"/>
  <c r="CZ4"/>
  <c r="CH5"/>
  <c r="K198" i="34"/>
  <c r="K197"/>
  <c r="T197" s="1"/>
  <c r="K196"/>
  <c r="T196" s="1"/>
  <c r="K195"/>
  <c r="T195" s="1"/>
  <c r="K194"/>
  <c r="T194" s="1"/>
  <c r="K193"/>
  <c r="T193" s="1"/>
  <c r="K192"/>
  <c r="K190"/>
  <c r="BV90"/>
  <c r="BV91" s="1"/>
  <c r="BP90"/>
  <c r="BP91" s="1"/>
  <c r="BP92" s="1"/>
  <c r="BP93" s="1"/>
  <c r="BP94" s="1"/>
  <c r="BK88"/>
  <c r="BI88"/>
  <c r="BI89" s="1"/>
  <c r="BI90" s="1"/>
  <c r="BI91" s="1"/>
  <c r="BI92" s="1"/>
  <c r="BI93" s="1"/>
  <c r="BI94" s="1"/>
  <c r="BI95" s="1"/>
  <c r="BI96" s="1"/>
  <c r="BI97" s="1"/>
  <c r="BI98" s="1"/>
  <c r="BI99" s="1"/>
  <c r="BI100" s="1"/>
  <c r="BI101" s="1"/>
  <c r="BI102" s="1"/>
  <c r="BI103" s="1"/>
  <c r="BI104" s="1"/>
  <c r="BI105" s="1"/>
  <c r="BI106" s="1"/>
  <c r="BI107" s="1"/>
  <c r="BI108" s="1"/>
  <c r="BI109" s="1"/>
  <c r="BI110" s="1"/>
  <c r="BI111" s="1"/>
  <c r="BI112" s="1"/>
  <c r="Z34" i="33"/>
  <c r="D38" i="32"/>
  <c r="K38" s="1"/>
  <c r="CE7" i="25"/>
  <c r="CE8" s="1"/>
  <c r="AG83"/>
  <c r="BX83" s="1"/>
  <c r="Z75"/>
  <c r="BQ75" s="1"/>
  <c r="AF74"/>
  <c r="BW74" s="1"/>
  <c r="AD74"/>
  <c r="BU74" s="1"/>
  <c r="V71"/>
  <c r="BM71" s="1"/>
  <c r="U67"/>
  <c r="BL67" s="1"/>
  <c r="AF39"/>
  <c r="BW39" s="1"/>
  <c r="W38"/>
  <c r="BN38" s="1"/>
  <c r="AH35"/>
  <c r="BY35" s="1"/>
  <c r="AF35"/>
  <c r="BW35" s="1"/>
  <c r="AD35"/>
  <c r="BU35" s="1"/>
  <c r="AB35"/>
  <c r="BS35" s="1"/>
  <c r="Z35"/>
  <c r="BQ35" s="1"/>
  <c r="X35"/>
  <c r="BO35" s="1"/>
  <c r="AH32"/>
  <c r="BY32" s="1"/>
  <c r="AB32"/>
  <c r="BS32" s="1"/>
  <c r="Z32"/>
  <c r="BQ32" s="1"/>
  <c r="T32"/>
  <c r="BK32" s="1"/>
  <c r="T30"/>
  <c r="BK30" s="1"/>
  <c r="AB29"/>
  <c r="BS29" s="1"/>
  <c r="T29"/>
  <c r="BK29" s="1"/>
  <c r="V24"/>
  <c r="BM24" s="1"/>
  <c r="AB23"/>
  <c r="BS23" s="1"/>
  <c r="X23"/>
  <c r="BO23" s="1"/>
  <c r="Z17"/>
  <c r="BQ17" s="1"/>
  <c r="AB16"/>
  <c r="BS16" s="1"/>
  <c r="AB10"/>
  <c r="BS10" s="1"/>
  <c r="X10"/>
  <c r="BO10" s="1"/>
  <c r="T10"/>
  <c r="BK10" s="1"/>
  <c r="AF7"/>
  <c r="BW7" s="1"/>
  <c r="AD7"/>
  <c r="BU7" s="1"/>
  <c r="Z7"/>
  <c r="BQ7" s="1"/>
  <c r="V7"/>
  <c r="BM7" s="1"/>
  <c r="BW88" i="34"/>
  <c r="BS88"/>
  <c r="BS89" s="1"/>
  <c r="L191" i="33"/>
  <c r="D191"/>
  <c r="L190"/>
  <c r="D190"/>
  <c r="L189"/>
  <c r="D189"/>
  <c r="R187"/>
  <c r="N187"/>
  <c r="J187"/>
  <c r="F187"/>
  <c r="D187"/>
  <c r="P185"/>
  <c r="L185"/>
  <c r="H185"/>
  <c r="R183"/>
  <c r="N183"/>
  <c r="J183"/>
  <c r="F183"/>
  <c r="D183"/>
  <c r="P181"/>
  <c r="L181"/>
  <c r="H181"/>
  <c r="R177"/>
  <c r="N177"/>
  <c r="J177"/>
  <c r="F177"/>
  <c r="R175"/>
  <c r="N175"/>
  <c r="J175"/>
  <c r="F175"/>
  <c r="R173"/>
  <c r="N173"/>
  <c r="AO91"/>
  <c r="BU87"/>
  <c r="BU88" s="1"/>
  <c r="BU89" s="1"/>
  <c r="BU90" s="1"/>
  <c r="BM87"/>
  <c r="BM88" s="1"/>
  <c r="BM89" s="1"/>
  <c r="BK87"/>
  <c r="BK88" s="1"/>
  <c r="BK89" s="1"/>
  <c r="BT87"/>
  <c r="BP87"/>
  <c r="BN87"/>
  <c r="Z50"/>
  <c r="Z18"/>
  <c r="G617" i="30"/>
  <c r="DC47" i="17"/>
  <c r="DC7"/>
  <c r="DC35"/>
  <c r="DC21"/>
  <c r="DC55"/>
  <c r="DC60"/>
  <c r="DC20"/>
  <c r="DC42"/>
  <c r="DC23"/>
  <c r="DC40"/>
  <c r="DC70"/>
  <c r="DC67"/>
  <c r="DC15"/>
  <c r="DC48"/>
  <c r="DC26"/>
  <c r="DC58"/>
  <c r="DC78"/>
  <c r="DC32"/>
  <c r="DC54"/>
  <c r="DC30"/>
  <c r="DC61"/>
  <c r="DC29"/>
  <c r="DC84"/>
  <c r="DC24"/>
  <c r="DC59"/>
  <c r="DC34"/>
  <c r="DC38"/>
  <c r="DC37"/>
  <c r="DC53"/>
  <c r="DC66"/>
  <c r="DC39"/>
  <c r="DC51"/>
  <c r="DC44"/>
  <c r="DC27"/>
  <c r="DC16"/>
  <c r="DC85"/>
  <c r="DC36"/>
  <c r="DC11"/>
  <c r="DC31"/>
  <c r="DC18"/>
  <c r="DC43"/>
  <c r="DC73"/>
  <c r="DC19"/>
  <c r="DC65"/>
  <c r="DC79"/>
  <c r="DC57"/>
  <c r="DC81"/>
  <c r="DC33"/>
  <c r="DC46"/>
  <c r="DC83"/>
  <c r="DC63"/>
  <c r="DC9"/>
  <c r="BS7"/>
  <c r="DC82"/>
  <c r="DC8"/>
  <c r="DC68"/>
  <c r="DC13"/>
  <c r="DC56"/>
  <c r="DC64"/>
  <c r="DC10"/>
  <c r="DC72"/>
  <c r="DC17"/>
  <c r="DC69"/>
  <c r="DC52"/>
  <c r="DC12"/>
  <c r="DC76"/>
  <c r="DC22"/>
  <c r="DC77"/>
  <c r="DC25"/>
  <c r="DC14"/>
  <c r="DC80"/>
  <c r="DC28"/>
  <c r="DC41"/>
  <c r="DC71"/>
  <c r="DC45"/>
  <c r="DC62"/>
  <c r="DC49"/>
  <c r="DC74"/>
  <c r="DC75"/>
  <c r="DC50"/>
  <c r="L610" i="30"/>
  <c r="E613"/>
  <c r="I582"/>
  <c r="F613"/>
  <c r="CM15" i="17"/>
  <c r="CM16" s="1"/>
  <c r="CM17" s="1"/>
  <c r="CM18" s="1"/>
  <c r="CM19" s="1"/>
  <c r="CM20" s="1"/>
  <c r="CM21" s="1"/>
  <c r="CM22" s="1"/>
  <c r="CM23" s="1"/>
  <c r="CM24" s="1"/>
  <c r="CM25" s="1"/>
  <c r="CM26" s="1"/>
  <c r="CM27" s="1"/>
  <c r="CM28" s="1"/>
  <c r="CM29" s="1"/>
  <c r="CM30" s="1"/>
  <c r="CM31" s="1"/>
  <c r="CM32" s="1"/>
  <c r="CM33" s="1"/>
  <c r="CM34" s="1"/>
  <c r="CM35" s="1"/>
  <c r="CM36" s="1"/>
  <c r="CM37" s="1"/>
  <c r="CM38" s="1"/>
  <c r="CM39" s="1"/>
  <c r="CM40" s="1"/>
  <c r="CM41" s="1"/>
  <c r="CM42" s="1"/>
  <c r="CM43" s="1"/>
  <c r="CM44" s="1"/>
  <c r="CM45" s="1"/>
  <c r="CM46" s="1"/>
  <c r="CM47" s="1"/>
  <c r="CM48" s="1"/>
  <c r="CM49" s="1"/>
  <c r="CM50" s="1"/>
  <c r="CM51" s="1"/>
  <c r="CM52" s="1"/>
  <c r="CM53" s="1"/>
  <c r="CM54" s="1"/>
  <c r="CM55" s="1"/>
  <c r="CM56" s="1"/>
  <c r="CM57" s="1"/>
  <c r="CM58" s="1"/>
  <c r="CM59" s="1"/>
  <c r="CM60" s="1"/>
  <c r="CM61" s="1"/>
  <c r="CM62" s="1"/>
  <c r="CM63" s="1"/>
  <c r="CM64" s="1"/>
  <c r="CM65" s="1"/>
  <c r="CM66" s="1"/>
  <c r="CM67" s="1"/>
  <c r="CM68" s="1"/>
  <c r="CM69" s="1"/>
  <c r="CM70" s="1"/>
  <c r="CM71" s="1"/>
  <c r="CM72" s="1"/>
  <c r="CM73" s="1"/>
  <c r="CM74" s="1"/>
  <c r="CM75" s="1"/>
  <c r="CM76" s="1"/>
  <c r="CM77" s="1"/>
  <c r="CM78" s="1"/>
  <c r="CM79" s="1"/>
  <c r="CM80" s="1"/>
  <c r="CM81" s="1"/>
  <c r="CM82" s="1"/>
  <c r="CM83" s="1"/>
  <c r="CM84" s="1"/>
  <c r="CM85" s="1"/>
  <c r="BI113" i="34"/>
  <c r="BS90"/>
  <c r="BS91" s="1"/>
  <c r="BS92" s="1"/>
  <c r="BS93" s="1"/>
  <c r="BS94" s="1"/>
  <c r="BS95" s="1"/>
  <c r="BS96" s="1"/>
  <c r="BS97" s="1"/>
  <c r="BS98" s="1"/>
  <c r="BS99" s="1"/>
  <c r="BS100" s="1"/>
  <c r="BS101" s="1"/>
  <c r="BS102" s="1"/>
  <c r="BS103" s="1"/>
  <c r="BS104" s="1"/>
  <c r="BS105" s="1"/>
  <c r="BS106" s="1"/>
  <c r="BS107" s="1"/>
  <c r="BS108" s="1"/>
  <c r="BS109" s="1"/>
  <c r="BS110" s="1"/>
  <c r="BS111" s="1"/>
  <c r="BS112" s="1"/>
  <c r="BS113" s="1"/>
  <c r="BS114" s="1"/>
  <c r="BS115" s="1"/>
  <c r="BS116" s="1"/>
  <c r="BS117" s="1"/>
  <c r="BS118" s="1"/>
  <c r="BS119" s="1"/>
  <c r="BS120" s="1"/>
  <c r="BS121" s="1"/>
  <c r="BS122" s="1"/>
  <c r="BS123" s="1"/>
  <c r="BS124" s="1"/>
  <c r="BS125" s="1"/>
  <c r="BS126" s="1"/>
  <c r="BS127" s="1"/>
  <c r="BS128" s="1"/>
  <c r="BS129" s="1"/>
  <c r="BS130" s="1"/>
  <c r="BS131" s="1"/>
  <c r="BS132" s="1"/>
  <c r="BS133" s="1"/>
  <c r="BS134" s="1"/>
  <c r="BS135" s="1"/>
  <c r="BS136" s="1"/>
  <c r="BS137" s="1"/>
  <c r="BS138" s="1"/>
  <c r="BS139" s="1"/>
  <c r="BS140" s="1"/>
  <c r="BS141" s="1"/>
  <c r="BS142" s="1"/>
  <c r="BS143" s="1"/>
  <c r="BS144" s="1"/>
  <c r="BS145" s="1"/>
  <c r="BS146" s="1"/>
  <c r="BS147" s="1"/>
  <c r="BS148" s="1"/>
  <c r="BS149" s="1"/>
  <c r="BS150" s="1"/>
  <c r="BS151" s="1"/>
  <c r="BS152" s="1"/>
  <c r="BS153" s="1"/>
  <c r="BN73" i="25"/>
  <c r="G533" i="30" s="1"/>
  <c r="BR73" i="25"/>
  <c r="D561" i="30" s="1"/>
  <c r="BT90" i="34"/>
  <c r="BT91" s="1"/>
  <c r="T85" i="25"/>
  <c r="BK85" s="1"/>
  <c r="AB85"/>
  <c r="BS85" s="1"/>
  <c r="AI85"/>
  <c r="BZ85" s="1"/>
  <c r="AA85"/>
  <c r="BR85" s="1"/>
  <c r="AE80"/>
  <c r="BV80" s="1"/>
  <c r="X80"/>
  <c r="BO80" s="1"/>
  <c r="V80"/>
  <c r="BM80" s="1"/>
  <c r="AB80"/>
  <c r="BS80" s="1"/>
  <c r="U79"/>
  <c r="BL79" s="1"/>
  <c r="V76"/>
  <c r="BM76" s="1"/>
  <c r="U77"/>
  <c r="BL77" s="1"/>
  <c r="Z76"/>
  <c r="BQ76" s="1"/>
  <c r="AF75"/>
  <c r="BW75" s="1"/>
  <c r="T72"/>
  <c r="BK72" s="1"/>
  <c r="AG73"/>
  <c r="V72"/>
  <c r="BM72" s="1"/>
  <c r="Z71"/>
  <c r="BQ71" s="1"/>
  <c r="AE68"/>
  <c r="BV68" s="1"/>
  <c r="V66"/>
  <c r="BM66" s="1"/>
  <c r="Y63"/>
  <c r="BP63" s="1"/>
  <c r="AH63"/>
  <c r="BY63" s="1"/>
  <c r="AF63"/>
  <c r="BW63" s="1"/>
  <c r="AD63"/>
  <c r="BU63" s="1"/>
  <c r="AB63"/>
  <c r="BS63" s="1"/>
  <c r="Z63"/>
  <c r="BQ63" s="1"/>
  <c r="X63"/>
  <c r="BO63" s="1"/>
  <c r="T63"/>
  <c r="BK63" s="1"/>
  <c r="AH60"/>
  <c r="BY60" s="1"/>
  <c r="AI59"/>
  <c r="BZ59" s="1"/>
  <c r="AA56"/>
  <c r="BR56" s="1"/>
  <c r="Z57"/>
  <c r="BQ57" s="1"/>
  <c r="AC56"/>
  <c r="BT56" s="1"/>
  <c r="X55"/>
  <c r="BO55" s="1"/>
  <c r="AC53"/>
  <c r="BT53" s="1"/>
  <c r="AA53"/>
  <c r="BR53" s="1"/>
  <c r="AI52"/>
  <c r="BZ52" s="1"/>
  <c r="AE52"/>
  <c r="BV52" s="1"/>
  <c r="AB53"/>
  <c r="BS53" s="1"/>
  <c r="U52"/>
  <c r="BL52" s="1"/>
  <c r="Z50"/>
  <c r="BQ50" s="1"/>
  <c r="AI48"/>
  <c r="BZ48" s="1"/>
  <c r="AG48"/>
  <c r="BX48" s="1"/>
  <c r="AE48"/>
  <c r="BV48" s="1"/>
  <c r="AC48"/>
  <c r="BT48" s="1"/>
  <c r="AA48"/>
  <c r="BR48" s="1"/>
  <c r="Y48"/>
  <c r="BP48" s="1"/>
  <c r="W48"/>
  <c r="BN48" s="1"/>
  <c r="U48"/>
  <c r="BL48" s="1"/>
  <c r="AL47"/>
  <c r="AO47" s="1"/>
  <c r="AI46"/>
  <c r="BZ46" s="1"/>
  <c r="AG46"/>
  <c r="BX46" s="1"/>
  <c r="AC47"/>
  <c r="BT47" s="1"/>
  <c r="Y47"/>
  <c r="BP47" s="1"/>
  <c r="AE41"/>
  <c r="BV41" s="1"/>
  <c r="Z41"/>
  <c r="BQ41" s="1"/>
  <c r="AE39"/>
  <c r="BV39" s="1"/>
  <c r="AF37"/>
  <c r="BW37" s="1"/>
  <c r="V37"/>
  <c r="BM37" s="1"/>
  <c r="AG34"/>
  <c r="BX34" s="1"/>
  <c r="Y34"/>
  <c r="BP34" s="1"/>
  <c r="AG31"/>
  <c r="BX31" s="1"/>
  <c r="Y31"/>
  <c r="BP31" s="1"/>
  <c r="U31"/>
  <c r="BL31" s="1"/>
  <c r="AK30"/>
  <c r="AO30" s="1"/>
  <c r="AG30"/>
  <c r="BX30" s="1"/>
  <c r="W30"/>
  <c r="BN30" s="1"/>
  <c r="AG29"/>
  <c r="BX29" s="1"/>
  <c r="Y29"/>
  <c r="BP29" s="1"/>
  <c r="AF27"/>
  <c r="BW27" s="1"/>
  <c r="AB27"/>
  <c r="BS27" s="1"/>
  <c r="X27"/>
  <c r="BO27" s="1"/>
  <c r="T27"/>
  <c r="BK27" s="1"/>
  <c r="AF24"/>
  <c r="BW24" s="1"/>
  <c r="AI21"/>
  <c r="BZ21" s="1"/>
  <c r="AA21"/>
  <c r="BR21" s="1"/>
  <c r="AF21"/>
  <c r="BW21" s="1"/>
  <c r="X21"/>
  <c r="BO21" s="1"/>
  <c r="U20"/>
  <c r="BL20" s="1"/>
  <c r="AG17"/>
  <c r="BX17" s="1"/>
  <c r="AB17"/>
  <c r="BS17" s="1"/>
  <c r="T18"/>
  <c r="BK18" s="1"/>
  <c r="AF17"/>
  <c r="BW17" s="1"/>
  <c r="AA17"/>
  <c r="BR17" s="1"/>
  <c r="Y17"/>
  <c r="BP17" s="1"/>
  <c r="W17"/>
  <c r="BN17" s="1"/>
  <c r="V16"/>
  <c r="BM16" s="1"/>
  <c r="AF15"/>
  <c r="BW15" s="1"/>
  <c r="AB15"/>
  <c r="BS15" s="1"/>
  <c r="V15"/>
  <c r="BM15" s="1"/>
  <c r="AI12"/>
  <c r="BZ12" s="1"/>
  <c r="AF12"/>
  <c r="BW12" s="1"/>
  <c r="AD12"/>
  <c r="BU12" s="1"/>
  <c r="AG9"/>
  <c r="BX9" s="1"/>
  <c r="AB9"/>
  <c r="BS9" s="1"/>
  <c r="Y9"/>
  <c r="BP9" s="1"/>
  <c r="Y5"/>
  <c r="BP5" s="1"/>
  <c r="AM5"/>
  <c r="AO5" s="1"/>
  <c r="U5"/>
  <c r="BL5" s="1"/>
  <c r="AQ33" i="17"/>
  <c r="CD6"/>
  <c r="CH6"/>
  <c r="CH7" s="1"/>
  <c r="CH8" s="1"/>
  <c r="CH9" s="1"/>
  <c r="CH10" s="1"/>
  <c r="CH11" s="1"/>
  <c r="CH12" s="1"/>
  <c r="CH13" s="1"/>
  <c r="CH14" s="1"/>
  <c r="CH15" s="1"/>
  <c r="CH16" s="1"/>
  <c r="CH17" s="1"/>
  <c r="CH18" s="1"/>
  <c r="CH19" s="1"/>
  <c r="CH20" s="1"/>
  <c r="CH21" s="1"/>
  <c r="CH22" s="1"/>
  <c r="CH23" s="1"/>
  <c r="CH24" s="1"/>
  <c r="CH25" s="1"/>
  <c r="CH26" s="1"/>
  <c r="CH27" s="1"/>
  <c r="CH28" s="1"/>
  <c r="CH29" s="1"/>
  <c r="CH30" s="1"/>
  <c r="CH31" s="1"/>
  <c r="CH32" s="1"/>
  <c r="CH33" s="1"/>
  <c r="CH34" s="1"/>
  <c r="CH35" s="1"/>
  <c r="CH36" s="1"/>
  <c r="CH37" s="1"/>
  <c r="CH38" s="1"/>
  <c r="CH39" s="1"/>
  <c r="CH40" s="1"/>
  <c r="CH41" s="1"/>
  <c r="CH42" s="1"/>
  <c r="CH43" s="1"/>
  <c r="CH44" s="1"/>
  <c r="CH45" s="1"/>
  <c r="CH46" s="1"/>
  <c r="CH47" s="1"/>
  <c r="CH48" s="1"/>
  <c r="CH49" s="1"/>
  <c r="CH50" s="1"/>
  <c r="CH51" s="1"/>
  <c r="CH52" s="1"/>
  <c r="CH53" s="1"/>
  <c r="CH54" s="1"/>
  <c r="CH55" s="1"/>
  <c r="CH56" s="1"/>
  <c r="CH57" s="1"/>
  <c r="CH58" s="1"/>
  <c r="CH59" s="1"/>
  <c r="CH60" s="1"/>
  <c r="CH61" s="1"/>
  <c r="CH62" s="1"/>
  <c r="CH63" s="1"/>
  <c r="CH64" s="1"/>
  <c r="CH65" s="1"/>
  <c r="CH66" s="1"/>
  <c r="CH67" s="1"/>
  <c r="CH68" s="1"/>
  <c r="CH69" s="1"/>
  <c r="CH70" s="1"/>
  <c r="CH71" s="1"/>
  <c r="CH72" s="1"/>
  <c r="CH73" s="1"/>
  <c r="CH74" s="1"/>
  <c r="CH75" s="1"/>
  <c r="CH76" s="1"/>
  <c r="CH77" s="1"/>
  <c r="CH78" s="1"/>
  <c r="CH79" s="1"/>
  <c r="CH80" s="1"/>
  <c r="CH81" s="1"/>
  <c r="CH82" s="1"/>
  <c r="CH83" s="1"/>
  <c r="CH84" s="1"/>
  <c r="CH85" s="1"/>
  <c r="BO89" i="34"/>
  <c r="BO90" s="1"/>
  <c r="BK89"/>
  <c r="BK90" s="1"/>
  <c r="BK91" s="1"/>
  <c r="BK92" s="1"/>
  <c r="BK93" s="1"/>
  <c r="BK94" s="1"/>
  <c r="BK95" s="1"/>
  <c r="BK96" s="1"/>
  <c r="BK97" s="1"/>
  <c r="BK98" s="1"/>
  <c r="BK99" s="1"/>
  <c r="BK100" s="1"/>
  <c r="BK101" s="1"/>
  <c r="BK102" s="1"/>
  <c r="BK103" s="1"/>
  <c r="BK104" s="1"/>
  <c r="BK105" s="1"/>
  <c r="BK106" s="1"/>
  <c r="BK107" s="1"/>
  <c r="BK108" s="1"/>
  <c r="BK109" s="1"/>
  <c r="BK110" s="1"/>
  <c r="BK111" s="1"/>
  <c r="BK112" s="1"/>
  <c r="BK113" s="1"/>
  <c r="BK114" s="1"/>
  <c r="BK115" s="1"/>
  <c r="BK116" s="1"/>
  <c r="BK117" s="1"/>
  <c r="BK118" s="1"/>
  <c r="BK119" s="1"/>
  <c r="BK120" s="1"/>
  <c r="BK121" s="1"/>
  <c r="BK122" s="1"/>
  <c r="BK123" s="1"/>
  <c r="BK124" s="1"/>
  <c r="BK125" s="1"/>
  <c r="BK126" s="1"/>
  <c r="BK127" s="1"/>
  <c r="BK128" s="1"/>
  <c r="BK129" s="1"/>
  <c r="BK130" s="1"/>
  <c r="BK131" s="1"/>
  <c r="BK132" s="1"/>
  <c r="BK133" s="1"/>
  <c r="BK134" s="1"/>
  <c r="BK135" s="1"/>
  <c r="BK136" s="1"/>
  <c r="BK137" s="1"/>
  <c r="BK138" s="1"/>
  <c r="BK139" s="1"/>
  <c r="BK140" s="1"/>
  <c r="BK141" s="1"/>
  <c r="BK142" s="1"/>
  <c r="BK143" s="1"/>
  <c r="BK144" s="1"/>
  <c r="BK145" s="1"/>
  <c r="BK146" s="1"/>
  <c r="BK147" s="1"/>
  <c r="BK148" s="1"/>
  <c r="BK149" s="1"/>
  <c r="BK150" s="1"/>
  <c r="BK151" s="1"/>
  <c r="BK152" s="1"/>
  <c r="BK153" s="1"/>
  <c r="BW89"/>
  <c r="BW90" s="1"/>
  <c r="BW91" s="1"/>
  <c r="BQ88"/>
  <c r="BQ89" s="1"/>
  <c r="BQ90" s="1"/>
  <c r="BQ91" s="1"/>
  <c r="BQ92" s="1"/>
  <c r="BQ93" s="1"/>
  <c r="BQ94" s="1"/>
  <c r="BQ95" s="1"/>
  <c r="BQ96" s="1"/>
  <c r="BQ97" s="1"/>
  <c r="BQ98" s="1"/>
  <c r="BQ99" s="1"/>
  <c r="BQ100" s="1"/>
  <c r="BQ101" s="1"/>
  <c r="BQ102" s="1"/>
  <c r="BQ103" s="1"/>
  <c r="BQ104" s="1"/>
  <c r="BQ105" s="1"/>
  <c r="BQ106" s="1"/>
  <c r="BQ107" s="1"/>
  <c r="BQ108" s="1"/>
  <c r="BQ109" s="1"/>
  <c r="BQ110" s="1"/>
  <c r="BQ111" s="1"/>
  <c r="BQ112" s="1"/>
  <c r="BQ113" s="1"/>
  <c r="BQ114" s="1"/>
  <c r="BQ115" s="1"/>
  <c r="BQ116" s="1"/>
  <c r="BQ117" s="1"/>
  <c r="BQ118" s="1"/>
  <c r="BQ119" s="1"/>
  <c r="BQ120" s="1"/>
  <c r="BQ121" s="1"/>
  <c r="BQ122" s="1"/>
  <c r="BQ123" s="1"/>
  <c r="BQ124" s="1"/>
  <c r="BQ125" s="1"/>
  <c r="BQ126" s="1"/>
  <c r="BQ127" s="1"/>
  <c r="BQ128" s="1"/>
  <c r="BQ129" s="1"/>
  <c r="BQ130" s="1"/>
  <c r="BQ131" s="1"/>
  <c r="BQ132" s="1"/>
  <c r="BQ133" s="1"/>
  <c r="BQ134" s="1"/>
  <c r="BQ135" s="1"/>
  <c r="BQ136" s="1"/>
  <c r="BQ137" s="1"/>
  <c r="BQ138" s="1"/>
  <c r="BQ139" s="1"/>
  <c r="BQ140" s="1"/>
  <c r="BQ141" s="1"/>
  <c r="BQ142" s="1"/>
  <c r="BQ143" s="1"/>
  <c r="BQ144" s="1"/>
  <c r="BQ145" s="1"/>
  <c r="BQ146" s="1"/>
  <c r="BQ147" s="1"/>
  <c r="BQ148" s="1"/>
  <c r="BG88"/>
  <c r="BG89" s="1"/>
  <c r="BG90" s="1"/>
  <c r="BG91" s="1"/>
  <c r="BG92" s="1"/>
  <c r="BG93" s="1"/>
  <c r="BG94" s="1"/>
  <c r="BG95" s="1"/>
  <c r="BG96" s="1"/>
  <c r="BG97" s="1"/>
  <c r="BG98" s="1"/>
  <c r="BG99" s="1"/>
  <c r="BG100" s="1"/>
  <c r="BG101" s="1"/>
  <c r="BG102" s="1"/>
  <c r="BG103" s="1"/>
  <c r="BG104" s="1"/>
  <c r="BG105" s="1"/>
  <c r="BG106" s="1"/>
  <c r="BG107" s="1"/>
  <c r="BG108" s="1"/>
  <c r="BG109" s="1"/>
  <c r="BG110" s="1"/>
  <c r="BG111" s="1"/>
  <c r="BG112" s="1"/>
  <c r="BG113" s="1"/>
  <c r="BG114" s="1"/>
  <c r="BG115" s="1"/>
  <c r="BG116" s="1"/>
  <c r="BG117" s="1"/>
  <c r="BG118" s="1"/>
  <c r="BG119" s="1"/>
  <c r="BG120" s="1"/>
  <c r="BG121" s="1"/>
  <c r="BG122" s="1"/>
  <c r="BG123" s="1"/>
  <c r="BG124" s="1"/>
  <c r="BG125" s="1"/>
  <c r="BG126" s="1"/>
  <c r="BG127" s="1"/>
  <c r="BG128" s="1"/>
  <c r="BG129" s="1"/>
  <c r="BG130" s="1"/>
  <c r="BG131" s="1"/>
  <c r="BG132" s="1"/>
  <c r="BG133" s="1"/>
  <c r="BG134" s="1"/>
  <c r="BG135" s="1"/>
  <c r="BG136" s="1"/>
  <c r="BG137" s="1"/>
  <c r="BG138" s="1"/>
  <c r="BG139" s="1"/>
  <c r="BG140" s="1"/>
  <c r="BG141" s="1"/>
  <c r="BG142" s="1"/>
  <c r="BG143" s="1"/>
  <c r="BG144" s="1"/>
  <c r="BG145" s="1"/>
  <c r="BG146" s="1"/>
  <c r="BG147" s="1"/>
  <c r="BG148" s="1"/>
  <c r="BG149" s="1"/>
  <c r="BG150" s="1"/>
  <c r="BG151" s="1"/>
  <c r="BG152" s="1"/>
  <c r="BG153" s="1"/>
  <c r="BN88" i="33"/>
  <c r="BN89" s="1"/>
  <c r="BN90" s="1"/>
  <c r="BN91" s="1"/>
  <c r="BM90"/>
  <c r="BK90"/>
  <c r="BK91" s="1"/>
  <c r="BK92" s="1"/>
  <c r="BK93" s="1"/>
  <c r="BI87"/>
  <c r="BI88" s="1"/>
  <c r="BI89" s="1"/>
  <c r="BI90" s="1"/>
  <c r="BT88"/>
  <c r="BT89" s="1"/>
  <c r="BT90" s="1"/>
  <c r="BT91" s="1"/>
  <c r="BT92" s="1"/>
  <c r="BT93" s="1"/>
  <c r="BT94" s="1"/>
  <c r="BT95" s="1"/>
  <c r="BT96" s="1"/>
  <c r="BT97" s="1"/>
  <c r="BT98" s="1"/>
  <c r="BT99" s="1"/>
  <c r="BT100" s="1"/>
  <c r="BT101" s="1"/>
  <c r="BT102" s="1"/>
  <c r="BT103" s="1"/>
  <c r="BT104" s="1"/>
  <c r="BT105" s="1"/>
  <c r="BT106" s="1"/>
  <c r="BT107" s="1"/>
  <c r="BT108" s="1"/>
  <c r="BT109" s="1"/>
  <c r="BT110" s="1"/>
  <c r="BT111" s="1"/>
  <c r="BT112" s="1"/>
  <c r="BT113" s="1"/>
  <c r="BT114" s="1"/>
  <c r="BT115" s="1"/>
  <c r="BT116" s="1"/>
  <c r="BT117" s="1"/>
  <c r="BT118" s="1"/>
  <c r="BT119" s="1"/>
  <c r="BT120" s="1"/>
  <c r="BT121" s="1"/>
  <c r="BT122" s="1"/>
  <c r="BT123" s="1"/>
  <c r="BT124" s="1"/>
  <c r="BT125" s="1"/>
  <c r="BT126" s="1"/>
  <c r="BT127" s="1"/>
  <c r="BT128" s="1"/>
  <c r="BT129" s="1"/>
  <c r="BT130" s="1"/>
  <c r="BT131" s="1"/>
  <c r="BT132" s="1"/>
  <c r="BT133" s="1"/>
  <c r="BT134" s="1"/>
  <c r="BT135" s="1"/>
  <c r="BT136" s="1"/>
  <c r="BT137" s="1"/>
  <c r="BT138" s="1"/>
  <c r="BT139" s="1"/>
  <c r="BT140" s="1"/>
  <c r="BT141" s="1"/>
  <c r="BT142" s="1"/>
  <c r="BT143" s="1"/>
  <c r="BT144" s="1"/>
  <c r="BT145" s="1"/>
  <c r="BT146" s="1"/>
  <c r="BT147" s="1"/>
  <c r="BT148" s="1"/>
  <c r="BT149" s="1"/>
  <c r="BT150" s="1"/>
  <c r="BT151" s="1"/>
  <c r="BT152" s="1"/>
  <c r="Z46"/>
  <c r="Z30"/>
  <c r="Z12"/>
  <c r="BW99"/>
  <c r="BW100" s="1"/>
  <c r="BW101" s="1"/>
  <c r="BW102" s="1"/>
  <c r="BW103" s="1"/>
  <c r="BW104" s="1"/>
  <c r="BR90" i="34"/>
  <c r="BR91" s="1"/>
  <c r="BS93" i="33"/>
  <c r="BS94" s="1"/>
  <c r="BS95" s="1"/>
  <c r="BS96" s="1"/>
  <c r="BS97" s="1"/>
  <c r="BS98" s="1"/>
  <c r="BS99" s="1"/>
  <c r="BS100" s="1"/>
  <c r="BS101" s="1"/>
  <c r="BS102" s="1"/>
  <c r="BS103" s="1"/>
  <c r="BS104" s="1"/>
  <c r="BS105" s="1"/>
  <c r="BS106" s="1"/>
  <c r="BS107" s="1"/>
  <c r="BS108" s="1"/>
  <c r="BS109" s="1"/>
  <c r="BS110" s="1"/>
  <c r="BS111" s="1"/>
  <c r="BS112" s="1"/>
  <c r="BS113" s="1"/>
  <c r="BS114" s="1"/>
  <c r="BS115" s="1"/>
  <c r="BS116" s="1"/>
  <c r="BS117" s="1"/>
  <c r="BS118" s="1"/>
  <c r="BS119" s="1"/>
  <c r="BS120" s="1"/>
  <c r="BS121" s="1"/>
  <c r="BS122" s="1"/>
  <c r="BS123" s="1"/>
  <c r="BS124" s="1"/>
  <c r="BS125" s="1"/>
  <c r="BS126" s="1"/>
  <c r="BS127" s="1"/>
  <c r="BS128" s="1"/>
  <c r="BS129" s="1"/>
  <c r="BS130" s="1"/>
  <c r="BS131" s="1"/>
  <c r="BS132" s="1"/>
  <c r="BS133" s="1"/>
  <c r="BS134" s="1"/>
  <c r="BS135" s="1"/>
  <c r="BS136" s="1"/>
  <c r="BS137" s="1"/>
  <c r="BS138" s="1"/>
  <c r="BS139" s="1"/>
  <c r="BS140" s="1"/>
  <c r="BS141" s="1"/>
  <c r="BS142" s="1"/>
  <c r="BS143" s="1"/>
  <c r="BS144" s="1"/>
  <c r="BS145" s="1"/>
  <c r="BS146" s="1"/>
  <c r="BS147" s="1"/>
  <c r="BS148" s="1"/>
  <c r="BS149" s="1"/>
  <c r="BS150" s="1"/>
  <c r="BS151" s="1"/>
  <c r="BS152" s="1"/>
  <c r="X84" i="25"/>
  <c r="BO84" s="1"/>
  <c r="AA83"/>
  <c r="BR83" s="1"/>
  <c r="AF77"/>
  <c r="BW77" s="1"/>
  <c r="AB74"/>
  <c r="BS74" s="1"/>
  <c r="Z74"/>
  <c r="BQ74" s="1"/>
  <c r="X70"/>
  <c r="BO70" s="1"/>
  <c r="V68"/>
  <c r="BM68" s="1"/>
  <c r="AL64"/>
  <c r="AO64" s="1"/>
  <c r="AG61"/>
  <c r="BX61" s="1"/>
  <c r="Y53"/>
  <c r="BP53" s="1"/>
  <c r="AE45"/>
  <c r="BV45" s="1"/>
  <c r="AC45"/>
  <c r="BT45" s="1"/>
  <c r="AA45"/>
  <c r="BR45" s="1"/>
  <c r="AF41"/>
  <c r="BW41" s="1"/>
  <c r="AA40"/>
  <c r="BR40" s="1"/>
  <c r="Y40"/>
  <c r="BP40" s="1"/>
  <c r="AA39"/>
  <c r="BR39" s="1"/>
  <c r="AC30"/>
  <c r="BT30" s="1"/>
  <c r="AB28"/>
  <c r="BS28" s="1"/>
  <c r="AG26"/>
  <c r="BX26" s="1"/>
  <c r="AC26"/>
  <c r="BT26" s="1"/>
  <c r="Y26"/>
  <c r="BP26" s="1"/>
  <c r="AA25"/>
  <c r="BR25" s="1"/>
  <c r="W25"/>
  <c r="BN25" s="1"/>
  <c r="V23"/>
  <c r="BM23" s="1"/>
  <c r="AC11"/>
  <c r="BT11" s="1"/>
  <c r="AF10"/>
  <c r="BW10" s="1"/>
  <c r="V10"/>
  <c r="BM10" s="1"/>
  <c r="AF9"/>
  <c r="BW9" s="1"/>
  <c r="X8"/>
  <c r="BO8" s="1"/>
  <c r="X7"/>
  <c r="BO7" s="1"/>
  <c r="AJ34" i="17"/>
  <c r="AJ30"/>
  <c r="AQ24"/>
  <c r="AQ20"/>
  <c r="AQ10"/>
  <c r="CD7"/>
  <c r="CD8" s="1"/>
  <c r="CD9" s="1"/>
  <c r="CD10" s="1"/>
  <c r="CD11" s="1"/>
  <c r="CD12" s="1"/>
  <c r="CD13" s="1"/>
  <c r="CD14" s="1"/>
  <c r="CD15" s="1"/>
  <c r="CD16" s="1"/>
  <c r="CD17" s="1"/>
  <c r="CD18" s="1"/>
  <c r="CD19" s="1"/>
  <c r="CD20" s="1"/>
  <c r="CD21" s="1"/>
  <c r="CD22" s="1"/>
  <c r="CD23" s="1"/>
  <c r="CD24" s="1"/>
  <c r="CD25" s="1"/>
  <c r="CD26" s="1"/>
  <c r="CD27" s="1"/>
  <c r="CD28" s="1"/>
  <c r="CD29" s="1"/>
  <c r="CD30" s="1"/>
  <c r="CD31" s="1"/>
  <c r="CD32" s="1"/>
  <c r="CD33" s="1"/>
  <c r="CD34" s="1"/>
  <c r="CD35" s="1"/>
  <c r="CD36" s="1"/>
  <c r="CD37" s="1"/>
  <c r="CD38" s="1"/>
  <c r="CD39" s="1"/>
  <c r="CD40" s="1"/>
  <c r="CD41" s="1"/>
  <c r="CD42" s="1"/>
  <c r="CD43" s="1"/>
  <c r="CD44" s="1"/>
  <c r="CD45" s="1"/>
  <c r="CD46" s="1"/>
  <c r="CD47" s="1"/>
  <c r="CD48" s="1"/>
  <c r="CD49" s="1"/>
  <c r="CD50" s="1"/>
  <c r="CD51" s="1"/>
  <c r="CD52" s="1"/>
  <c r="CD53" s="1"/>
  <c r="CD54" s="1"/>
  <c r="CD55" s="1"/>
  <c r="CD56" s="1"/>
  <c r="CD57" s="1"/>
  <c r="CD58" s="1"/>
  <c r="CD59" s="1"/>
  <c r="CD60" s="1"/>
  <c r="CD61" s="1"/>
  <c r="CD62" s="1"/>
  <c r="CD63" s="1"/>
  <c r="CD64" s="1"/>
  <c r="CD65" s="1"/>
  <c r="CD66" s="1"/>
  <c r="CD67" s="1"/>
  <c r="CD68" s="1"/>
  <c r="CD69" s="1"/>
  <c r="CD70" s="1"/>
  <c r="CD71" s="1"/>
  <c r="CD72" s="1"/>
  <c r="CD73" s="1"/>
  <c r="CD74" s="1"/>
  <c r="CD75" s="1"/>
  <c r="CD76" s="1"/>
  <c r="CD77" s="1"/>
  <c r="CD78" s="1"/>
  <c r="CD79" s="1"/>
  <c r="CD80" s="1"/>
  <c r="CD81" s="1"/>
  <c r="CD82" s="1"/>
  <c r="CD83" s="1"/>
  <c r="CD84" s="1"/>
  <c r="CD85" s="1"/>
  <c r="DI5"/>
  <c r="DE5"/>
  <c r="DC5"/>
  <c r="CP5"/>
  <c r="CP6" s="1"/>
  <c r="CL5"/>
  <c r="CL6" s="1"/>
  <c r="CS5"/>
  <c r="CS6" s="1"/>
  <c r="CS7" s="1"/>
  <c r="CS8" s="1"/>
  <c r="CS9" s="1"/>
  <c r="CS10" s="1"/>
  <c r="CS11" s="1"/>
  <c r="CS12" s="1"/>
  <c r="CS13" s="1"/>
  <c r="CS14" s="1"/>
  <c r="CS15" s="1"/>
  <c r="CS16" s="1"/>
  <c r="CS17" s="1"/>
  <c r="CS18" s="1"/>
  <c r="CS19" s="1"/>
  <c r="CS20" s="1"/>
  <c r="CS21" s="1"/>
  <c r="CS22" s="1"/>
  <c r="CS23" s="1"/>
  <c r="CS24" s="1"/>
  <c r="CS25" s="1"/>
  <c r="CS26" s="1"/>
  <c r="CS27" s="1"/>
  <c r="CS28" s="1"/>
  <c r="CS29" s="1"/>
  <c r="CS30" s="1"/>
  <c r="CS31" s="1"/>
  <c r="CS32" s="1"/>
  <c r="CS33" s="1"/>
  <c r="CS34" s="1"/>
  <c r="CS35" s="1"/>
  <c r="CS36" s="1"/>
  <c r="CS37" s="1"/>
  <c r="CS38" s="1"/>
  <c r="CS39" s="1"/>
  <c r="CS40" s="1"/>
  <c r="CS41" s="1"/>
  <c r="CS42" s="1"/>
  <c r="CS43" s="1"/>
  <c r="CS44" s="1"/>
  <c r="CS45" s="1"/>
  <c r="CS46" s="1"/>
  <c r="CS47" s="1"/>
  <c r="CS48" s="1"/>
  <c r="CS49" s="1"/>
  <c r="CS50" s="1"/>
  <c r="CS51" s="1"/>
  <c r="CS52" s="1"/>
  <c r="CS53" s="1"/>
  <c r="CS54" s="1"/>
  <c r="CS55" s="1"/>
  <c r="CS56" s="1"/>
  <c r="CS57" s="1"/>
  <c r="CS58" s="1"/>
  <c r="CS59" s="1"/>
  <c r="CS60" s="1"/>
  <c r="CS61" s="1"/>
  <c r="CS62" s="1"/>
  <c r="CS63" s="1"/>
  <c r="CS64" s="1"/>
  <c r="CS65" s="1"/>
  <c r="CS66" s="1"/>
  <c r="CS67" s="1"/>
  <c r="CS68" s="1"/>
  <c r="CS69" s="1"/>
  <c r="CS70" s="1"/>
  <c r="CS71" s="1"/>
  <c r="CS72" s="1"/>
  <c r="CS73" s="1"/>
  <c r="CS74" s="1"/>
  <c r="CS75" s="1"/>
  <c r="CS76" s="1"/>
  <c r="CS77" s="1"/>
  <c r="CS78" s="1"/>
  <c r="CS79" s="1"/>
  <c r="CS80" s="1"/>
  <c r="CS81" s="1"/>
  <c r="CS82" s="1"/>
  <c r="CS83" s="1"/>
  <c r="CS84" s="1"/>
  <c r="CS85" s="1"/>
  <c r="CO5"/>
  <c r="CO6" s="1"/>
  <c r="CO7" s="1"/>
  <c r="CO8" s="1"/>
  <c r="CO9" s="1"/>
  <c r="CO10" s="1"/>
  <c r="CO11" s="1"/>
  <c r="CO12" s="1"/>
  <c r="CO13" s="1"/>
  <c r="CO14" s="1"/>
  <c r="CO15" s="1"/>
  <c r="CO16" s="1"/>
  <c r="CO17" s="1"/>
  <c r="CO18" s="1"/>
  <c r="CO19" s="1"/>
  <c r="CO20" s="1"/>
  <c r="CO21" s="1"/>
  <c r="CO22" s="1"/>
  <c r="CO23" s="1"/>
  <c r="CO24" s="1"/>
  <c r="CO25" s="1"/>
  <c r="CO26" s="1"/>
  <c r="CO27" s="1"/>
  <c r="CO28" s="1"/>
  <c r="CO29" s="1"/>
  <c r="CO30" s="1"/>
  <c r="CO31" s="1"/>
  <c r="CO32" s="1"/>
  <c r="CO33" s="1"/>
  <c r="CO34" s="1"/>
  <c r="CO35" s="1"/>
  <c r="CO36" s="1"/>
  <c r="CO37" s="1"/>
  <c r="CO38" s="1"/>
  <c r="CO39" s="1"/>
  <c r="CO40" s="1"/>
  <c r="CO41" s="1"/>
  <c r="CO42" s="1"/>
  <c r="CO43" s="1"/>
  <c r="CO44" s="1"/>
  <c r="CO45" s="1"/>
  <c r="CO46" s="1"/>
  <c r="CO47" s="1"/>
  <c r="CO48" s="1"/>
  <c r="CO49" s="1"/>
  <c r="CO50" s="1"/>
  <c r="CO51" s="1"/>
  <c r="CO52" s="1"/>
  <c r="CO53" s="1"/>
  <c r="CO54" s="1"/>
  <c r="CO55" s="1"/>
  <c r="CO56" s="1"/>
  <c r="CO57" s="1"/>
  <c r="CO58" s="1"/>
  <c r="CO59" s="1"/>
  <c r="CO60" s="1"/>
  <c r="CO61" s="1"/>
  <c r="CO62" s="1"/>
  <c r="CO63" s="1"/>
  <c r="CO64" s="1"/>
  <c r="CO65" s="1"/>
  <c r="CO66" s="1"/>
  <c r="CO67" s="1"/>
  <c r="CO68" s="1"/>
  <c r="CO69" s="1"/>
  <c r="CO70" s="1"/>
  <c r="CO71" s="1"/>
  <c r="CO72" s="1"/>
  <c r="CO73" s="1"/>
  <c r="CO74" s="1"/>
  <c r="CO75" s="1"/>
  <c r="CO76" s="1"/>
  <c r="CO77" s="1"/>
  <c r="CO78" s="1"/>
  <c r="CO79" s="1"/>
  <c r="CO80" s="1"/>
  <c r="CO81" s="1"/>
  <c r="CO82" s="1"/>
  <c r="CO83" s="1"/>
  <c r="CO84" s="1"/>
  <c r="CO85" s="1"/>
  <c r="BN89" i="34"/>
  <c r="BN90" s="1"/>
  <c r="BU88"/>
  <c r="BU89" s="1"/>
  <c r="BU90" s="1"/>
  <c r="BU91" s="1"/>
  <c r="BU92" s="1"/>
  <c r="BU93" s="1"/>
  <c r="BU94" s="1"/>
  <c r="BU95" s="1"/>
  <c r="BU96" s="1"/>
  <c r="BU97" s="1"/>
  <c r="BU98" s="1"/>
  <c r="BU99" s="1"/>
  <c r="BU100" s="1"/>
  <c r="BU101" s="1"/>
  <c r="BU102" s="1"/>
  <c r="BU103" s="1"/>
  <c r="BU104" s="1"/>
  <c r="BU105" s="1"/>
  <c r="BU106" s="1"/>
  <c r="BU107" s="1"/>
  <c r="BU108" s="1"/>
  <c r="BU109" s="1"/>
  <c r="BU110" s="1"/>
  <c r="BU111" s="1"/>
  <c r="BU112" s="1"/>
  <c r="BU113" s="1"/>
  <c r="BU114" s="1"/>
  <c r="BU115" s="1"/>
  <c r="BU116" s="1"/>
  <c r="BU117" s="1"/>
  <c r="BU118" s="1"/>
  <c r="BU119" s="1"/>
  <c r="BU120" s="1"/>
  <c r="BU121" s="1"/>
  <c r="BU122" s="1"/>
  <c r="BU123" s="1"/>
  <c r="BU124" s="1"/>
  <c r="BU125" s="1"/>
  <c r="BU126" s="1"/>
  <c r="BU127" s="1"/>
  <c r="BU128" s="1"/>
  <c r="BU129" s="1"/>
  <c r="BU130" s="1"/>
  <c r="BU131" s="1"/>
  <c r="BU132" s="1"/>
  <c r="BU133" s="1"/>
  <c r="BU134" s="1"/>
  <c r="BU135" s="1"/>
  <c r="BU136" s="1"/>
  <c r="BU137" s="1"/>
  <c r="BU138" s="1"/>
  <c r="BU139" s="1"/>
  <c r="BU140" s="1"/>
  <c r="BU141" s="1"/>
  <c r="BU142" s="1"/>
  <c r="BU143" s="1"/>
  <c r="BU144" s="1"/>
  <c r="BU145" s="1"/>
  <c r="BU146" s="1"/>
  <c r="BU147" s="1"/>
  <c r="BU148" s="1"/>
  <c r="BM88"/>
  <c r="BM89" s="1"/>
  <c r="BM90" s="1"/>
  <c r="BM91" s="1"/>
  <c r="BM92" s="1"/>
  <c r="BM93" s="1"/>
  <c r="BM94" s="1"/>
  <c r="BM95" s="1"/>
  <c r="BM96" s="1"/>
  <c r="BM97" s="1"/>
  <c r="BM98" s="1"/>
  <c r="BM99" s="1"/>
  <c r="BM100" s="1"/>
  <c r="BM101" s="1"/>
  <c r="BM102" s="1"/>
  <c r="BM103" s="1"/>
  <c r="BM104" s="1"/>
  <c r="BM105" s="1"/>
  <c r="BM106" s="1"/>
  <c r="BM107" s="1"/>
  <c r="BM108" s="1"/>
  <c r="BM109" s="1"/>
  <c r="BM110" s="1"/>
  <c r="BM111" s="1"/>
  <c r="BM112" s="1"/>
  <c r="BM113" s="1"/>
  <c r="BM114" s="1"/>
  <c r="BM115" s="1"/>
  <c r="BM116" s="1"/>
  <c r="BM117" s="1"/>
  <c r="BM118" s="1"/>
  <c r="BM119" s="1"/>
  <c r="BM120" s="1"/>
  <c r="BM121" s="1"/>
  <c r="BM122" s="1"/>
  <c r="BM123" s="1"/>
  <c r="BM124" s="1"/>
  <c r="BM125" s="1"/>
  <c r="BM126" s="1"/>
  <c r="BM127" s="1"/>
  <c r="BM128" s="1"/>
  <c r="BM129" s="1"/>
  <c r="BM130" s="1"/>
  <c r="BM131" s="1"/>
  <c r="BM132" s="1"/>
  <c r="BM133" s="1"/>
  <c r="BM134" s="1"/>
  <c r="BM135" s="1"/>
  <c r="BM136" s="1"/>
  <c r="BM137" s="1"/>
  <c r="BM138" s="1"/>
  <c r="BM139" s="1"/>
  <c r="BM140" s="1"/>
  <c r="BM141" s="1"/>
  <c r="BM142" s="1"/>
  <c r="BM143" s="1"/>
  <c r="BM144" s="1"/>
  <c r="BM145" s="1"/>
  <c r="BM146" s="1"/>
  <c r="BM147" s="1"/>
  <c r="BM148" s="1"/>
  <c r="BM149" s="1"/>
  <c r="BM150" s="1"/>
  <c r="BM151" s="1"/>
  <c r="BM152" s="1"/>
  <c r="BM153" s="1"/>
  <c r="BJ88"/>
  <c r="BJ89" s="1"/>
  <c r="BJ90" s="1"/>
  <c r="BJ91" s="1"/>
  <c r="BJ92" s="1"/>
  <c r="BJ93" s="1"/>
  <c r="BJ94" s="1"/>
  <c r="BJ95" s="1"/>
  <c r="BJ96" s="1"/>
  <c r="BJ97" s="1"/>
  <c r="BJ98" s="1"/>
  <c r="BJ99" s="1"/>
  <c r="BJ100" s="1"/>
  <c r="BJ101" s="1"/>
  <c r="BJ102" s="1"/>
  <c r="BJ103" s="1"/>
  <c r="BJ104" s="1"/>
  <c r="BJ105" s="1"/>
  <c r="BJ106" s="1"/>
  <c r="BJ107" s="1"/>
  <c r="BJ108" s="1"/>
  <c r="BJ109" s="1"/>
  <c r="BJ110" s="1"/>
  <c r="BJ111" s="1"/>
  <c r="BJ112" s="1"/>
  <c r="BJ113" s="1"/>
  <c r="BJ114" s="1"/>
  <c r="BJ115" s="1"/>
  <c r="BJ116" s="1"/>
  <c r="BJ117" s="1"/>
  <c r="BJ118" s="1"/>
  <c r="BJ119" s="1"/>
  <c r="BJ120" s="1"/>
  <c r="BJ121" s="1"/>
  <c r="BJ122" s="1"/>
  <c r="BJ123" s="1"/>
  <c r="BJ124" s="1"/>
  <c r="BJ125" s="1"/>
  <c r="BJ126" s="1"/>
  <c r="BJ127" s="1"/>
  <c r="BJ128" s="1"/>
  <c r="BJ129" s="1"/>
  <c r="BJ130" s="1"/>
  <c r="BJ131" s="1"/>
  <c r="BJ132" s="1"/>
  <c r="BJ133" s="1"/>
  <c r="BJ134" s="1"/>
  <c r="BJ135" s="1"/>
  <c r="BJ136" s="1"/>
  <c r="BJ137" s="1"/>
  <c r="BJ138" s="1"/>
  <c r="BJ139" s="1"/>
  <c r="BJ140" s="1"/>
  <c r="BJ141" s="1"/>
  <c r="BJ142" s="1"/>
  <c r="BJ143" s="1"/>
  <c r="BJ144" s="1"/>
  <c r="BJ145" s="1"/>
  <c r="BJ146" s="1"/>
  <c r="BJ147" s="1"/>
  <c r="BJ148" s="1"/>
  <c r="BJ149" s="1"/>
  <c r="BJ150" s="1"/>
  <c r="BJ151" s="1"/>
  <c r="BJ152" s="1"/>
  <c r="BJ153" s="1"/>
  <c r="BH88"/>
  <c r="BH89" s="1"/>
  <c r="BH90" s="1"/>
  <c r="BH91" s="1"/>
  <c r="BH92" s="1"/>
  <c r="BH93" s="1"/>
  <c r="BH94" s="1"/>
  <c r="BH95" s="1"/>
  <c r="BH96" s="1"/>
  <c r="BH97" s="1"/>
  <c r="BH98" s="1"/>
  <c r="BH99" s="1"/>
  <c r="BH100" s="1"/>
  <c r="BH101" s="1"/>
  <c r="BH102" s="1"/>
  <c r="BH103" s="1"/>
  <c r="BH104" s="1"/>
  <c r="BH105" s="1"/>
  <c r="BH106" s="1"/>
  <c r="Q192" i="33"/>
  <c r="T192" s="1"/>
  <c r="C189"/>
  <c r="Q188"/>
  <c r="M188"/>
  <c r="I188"/>
  <c r="E188"/>
  <c r="S186"/>
  <c r="K186"/>
  <c r="E186"/>
  <c r="S184"/>
  <c r="K184"/>
  <c r="E184"/>
  <c r="S182"/>
  <c r="K182"/>
  <c r="E182"/>
  <c r="S180"/>
  <c r="K180"/>
  <c r="C180"/>
  <c r="Q179"/>
  <c r="M179"/>
  <c r="I179"/>
  <c r="M178"/>
  <c r="C178"/>
  <c r="Q176"/>
  <c r="E176"/>
  <c r="E175"/>
  <c r="I174"/>
  <c r="BO88"/>
  <c r="BO89" s="1"/>
  <c r="BO90" s="1"/>
  <c r="BO91" s="1"/>
  <c r="BO92" s="1"/>
  <c r="BH88"/>
  <c r="BH89" s="1"/>
  <c r="BH90" s="1"/>
  <c r="BV87"/>
  <c r="BV88" s="1"/>
  <c r="BV89" s="1"/>
  <c r="BV90" s="1"/>
  <c r="BV91" s="1"/>
  <c r="BV92" s="1"/>
  <c r="BV93" s="1"/>
  <c r="BV94" s="1"/>
  <c r="BV95" s="1"/>
  <c r="BV96" s="1"/>
  <c r="BV97" s="1"/>
  <c r="BV98" s="1"/>
  <c r="BV99" s="1"/>
  <c r="BV100" s="1"/>
  <c r="BV101" s="1"/>
  <c r="BV102" s="1"/>
  <c r="BV103" s="1"/>
  <c r="BV104" s="1"/>
  <c r="BV105" s="1"/>
  <c r="BV106" s="1"/>
  <c r="BV107" s="1"/>
  <c r="BV108" s="1"/>
  <c r="BV109" s="1"/>
  <c r="BV110" s="1"/>
  <c r="BV111" s="1"/>
  <c r="BV112" s="1"/>
  <c r="BV113" s="1"/>
  <c r="BV114" s="1"/>
  <c r="BV115" s="1"/>
  <c r="BV116" s="1"/>
  <c r="BV117" s="1"/>
  <c r="BV118" s="1"/>
  <c r="BV119" s="1"/>
  <c r="BV120" s="1"/>
  <c r="BV121" s="1"/>
  <c r="BV122" s="1"/>
  <c r="BV123" s="1"/>
  <c r="BV124" s="1"/>
  <c r="BV125" s="1"/>
  <c r="BV126" s="1"/>
  <c r="BV127" s="1"/>
  <c r="BV128" s="1"/>
  <c r="BV129" s="1"/>
  <c r="BV130" s="1"/>
  <c r="BV131" s="1"/>
  <c r="BV132" s="1"/>
  <c r="BV133" s="1"/>
  <c r="BV134" s="1"/>
  <c r="BV135" s="1"/>
  <c r="BV136" s="1"/>
  <c r="BV137" s="1"/>
  <c r="BV138" s="1"/>
  <c r="BV139" s="1"/>
  <c r="BV140" s="1"/>
  <c r="BV141" s="1"/>
  <c r="BV142" s="1"/>
  <c r="BV143" s="1"/>
  <c r="BV144" s="1"/>
  <c r="BV145" s="1"/>
  <c r="BV146" s="1"/>
  <c r="BV147" s="1"/>
  <c r="BV148" s="1"/>
  <c r="BV149" s="1"/>
  <c r="BV150" s="1"/>
  <c r="BV151" s="1"/>
  <c r="BV152" s="1"/>
  <c r="BR87"/>
  <c r="BR88" s="1"/>
  <c r="BR89" s="1"/>
  <c r="BR90" s="1"/>
  <c r="BR91" s="1"/>
  <c r="BR92" s="1"/>
  <c r="BR93" s="1"/>
  <c r="BR94" s="1"/>
  <c r="BR95" s="1"/>
  <c r="BR96" s="1"/>
  <c r="BR97" s="1"/>
  <c r="BR98" s="1"/>
  <c r="BR99" s="1"/>
  <c r="BR100" s="1"/>
  <c r="BR101" s="1"/>
  <c r="BR102" s="1"/>
  <c r="BR103" s="1"/>
  <c r="BR104" s="1"/>
  <c r="BR105" s="1"/>
  <c r="BR106" s="1"/>
  <c r="BR107" s="1"/>
  <c r="BR108" s="1"/>
  <c r="BR109" s="1"/>
  <c r="BR110" s="1"/>
  <c r="BR111" s="1"/>
  <c r="BR112" s="1"/>
  <c r="BR113" s="1"/>
  <c r="BR114" s="1"/>
  <c r="BR115" s="1"/>
  <c r="BR116" s="1"/>
  <c r="BR117" s="1"/>
  <c r="BR118" s="1"/>
  <c r="BR119" s="1"/>
  <c r="BR120" s="1"/>
  <c r="BR121" s="1"/>
  <c r="BR122" s="1"/>
  <c r="BR123" s="1"/>
  <c r="BR124" s="1"/>
  <c r="BR125" s="1"/>
  <c r="BR126" s="1"/>
  <c r="BR127" s="1"/>
  <c r="BR128" s="1"/>
  <c r="BR129" s="1"/>
  <c r="BR130" s="1"/>
  <c r="BR131" s="1"/>
  <c r="BR132" s="1"/>
  <c r="BR133" s="1"/>
  <c r="BR134" s="1"/>
  <c r="BR135" s="1"/>
  <c r="BR136" s="1"/>
  <c r="BR137" s="1"/>
  <c r="BR138" s="1"/>
  <c r="BR139" s="1"/>
  <c r="BR140" s="1"/>
  <c r="BR141" s="1"/>
  <c r="BR142" s="1"/>
  <c r="BR143" s="1"/>
  <c r="BR144" s="1"/>
  <c r="BR145" s="1"/>
  <c r="BR146" s="1"/>
  <c r="BR147" s="1"/>
  <c r="BR148" s="1"/>
  <c r="BR149" s="1"/>
  <c r="BR150" s="1"/>
  <c r="BR151" s="1"/>
  <c r="BR152" s="1"/>
  <c r="Z54"/>
  <c r="Z38"/>
  <c r="Z22"/>
  <c r="Z4"/>
  <c r="DJ66" i="25"/>
  <c r="DJ74"/>
  <c r="DJ82"/>
  <c r="DJ67"/>
  <c r="DJ79"/>
  <c r="DJ73"/>
  <c r="DJ10"/>
  <c r="DJ14"/>
  <c r="DJ18"/>
  <c r="DJ22"/>
  <c r="DJ44"/>
  <c r="DJ48"/>
  <c r="DJ58"/>
  <c r="DJ5"/>
  <c r="DJ9"/>
  <c r="DJ28"/>
  <c r="DJ32"/>
  <c r="DJ36"/>
  <c r="DJ40"/>
  <c r="DJ53"/>
  <c r="DJ57"/>
  <c r="DJ68"/>
  <c r="DJ76"/>
  <c r="DJ84"/>
  <c r="DJ83"/>
  <c r="DJ77"/>
  <c r="DJ11"/>
  <c r="DJ15"/>
  <c r="DJ19"/>
  <c r="DJ23"/>
  <c r="DJ45"/>
  <c r="DJ49"/>
  <c r="DJ59"/>
  <c r="DJ6"/>
  <c r="DJ25"/>
  <c r="DJ29"/>
  <c r="DJ33"/>
  <c r="DJ37"/>
  <c r="DJ41"/>
  <c r="DJ54"/>
  <c r="DJ61"/>
  <c r="DJ70"/>
  <c r="DJ78"/>
  <c r="DJ64"/>
  <c r="DJ71"/>
  <c r="DJ65"/>
  <c r="DJ81"/>
  <c r="DJ12"/>
  <c r="DJ16"/>
  <c r="DJ20"/>
  <c r="DJ24"/>
  <c r="DJ46"/>
  <c r="DJ50"/>
  <c r="DJ60"/>
  <c r="DJ7"/>
  <c r="DJ26"/>
  <c r="DJ30"/>
  <c r="DJ34"/>
  <c r="DJ38"/>
  <c r="DJ42"/>
  <c r="DJ55"/>
  <c r="DJ62"/>
  <c r="DJ72"/>
  <c r="DJ80"/>
  <c r="DJ75"/>
  <c r="DJ69"/>
  <c r="DJ85"/>
  <c r="DJ13"/>
  <c r="DJ17"/>
  <c r="DJ21"/>
  <c r="DJ43"/>
  <c r="DJ47"/>
  <c r="DJ51"/>
  <c r="DJ4"/>
  <c r="DJ8"/>
  <c r="DJ27"/>
  <c r="DJ31"/>
  <c r="DJ35"/>
  <c r="DJ39"/>
  <c r="DJ52"/>
  <c r="DJ56"/>
  <c r="DJ63"/>
  <c r="DH66"/>
  <c r="DH74"/>
  <c r="DH82"/>
  <c r="DH71"/>
  <c r="DH65"/>
  <c r="DH81"/>
  <c r="DH12"/>
  <c r="DH16"/>
  <c r="DH20"/>
  <c r="DH24"/>
  <c r="DH46"/>
  <c r="DH50"/>
  <c r="DH60"/>
  <c r="DH7"/>
  <c r="DH26"/>
  <c r="DH30"/>
  <c r="DH34"/>
  <c r="DH38"/>
  <c r="DH42"/>
  <c r="DH55"/>
  <c r="DH62"/>
  <c r="DH72"/>
  <c r="DH80"/>
  <c r="DH67"/>
  <c r="DH83"/>
  <c r="DH77"/>
  <c r="DH11"/>
  <c r="DH15"/>
  <c r="DH19"/>
  <c r="DH23"/>
  <c r="DH45"/>
  <c r="DH49"/>
  <c r="DH59"/>
  <c r="DH6"/>
  <c r="DH25"/>
  <c r="DH29"/>
  <c r="DH33"/>
  <c r="DH37"/>
  <c r="DH41"/>
  <c r="DH54"/>
  <c r="DH61"/>
  <c r="DH70"/>
  <c r="DH78"/>
  <c r="DH64"/>
  <c r="DH79"/>
  <c r="DH73"/>
  <c r="DH10"/>
  <c r="DH14"/>
  <c r="DH18"/>
  <c r="DH22"/>
  <c r="DH44"/>
  <c r="DH48"/>
  <c r="DH58"/>
  <c r="DH5"/>
  <c r="DH9"/>
  <c r="DH28"/>
  <c r="DH32"/>
  <c r="DH36"/>
  <c r="DH40"/>
  <c r="DH53"/>
  <c r="DH57"/>
  <c r="DH68"/>
  <c r="DH76"/>
  <c r="DH84"/>
  <c r="DH75"/>
  <c r="DH69"/>
  <c r="DH85"/>
  <c r="DH13"/>
  <c r="DH17"/>
  <c r="DH21"/>
  <c r="DH43"/>
  <c r="DH47"/>
  <c r="DH51"/>
  <c r="DH4"/>
  <c r="DH8"/>
  <c r="DH27"/>
  <c r="DH31"/>
  <c r="DH35"/>
  <c r="DH39"/>
  <c r="DH52"/>
  <c r="DH56"/>
  <c r="DH63"/>
  <c r="DF66"/>
  <c r="DF74"/>
  <c r="DF82"/>
  <c r="DF71"/>
  <c r="DF65"/>
  <c r="DF81"/>
  <c r="DF12"/>
  <c r="DF16"/>
  <c r="DF20"/>
  <c r="DF24"/>
  <c r="DF46"/>
  <c r="DF50"/>
  <c r="DF60"/>
  <c r="DF7"/>
  <c r="DF26"/>
  <c r="DF30"/>
  <c r="DF34"/>
  <c r="DF38"/>
  <c r="DF42"/>
  <c r="DF55"/>
  <c r="DF62"/>
  <c r="DF72"/>
  <c r="DF80"/>
  <c r="DF67"/>
  <c r="DF83"/>
  <c r="DF77"/>
  <c r="DF11"/>
  <c r="DF15"/>
  <c r="DF19"/>
  <c r="DF23"/>
  <c r="DF45"/>
  <c r="DF49"/>
  <c r="DF59"/>
  <c r="DF6"/>
  <c r="DF25"/>
  <c r="DF29"/>
  <c r="DF33"/>
  <c r="DF37"/>
  <c r="DF41"/>
  <c r="DF54"/>
  <c r="DF61"/>
  <c r="DF70"/>
  <c r="DF78"/>
  <c r="DF64"/>
  <c r="DF79"/>
  <c r="DF73"/>
  <c r="DF10"/>
  <c r="DF14"/>
  <c r="DF18"/>
  <c r="DF22"/>
  <c r="DF44"/>
  <c r="DF48"/>
  <c r="DF58"/>
  <c r="DF5"/>
  <c r="DF9"/>
  <c r="DF28"/>
  <c r="DF32"/>
  <c r="DF36"/>
  <c r="DF40"/>
  <c r="DF53"/>
  <c r="DF57"/>
  <c r="DF68"/>
  <c r="DF76"/>
  <c r="DF84"/>
  <c r="DF75"/>
  <c r="DF69"/>
  <c r="DF85"/>
  <c r="DF13"/>
  <c r="DF17"/>
  <c r="DF21"/>
  <c r="DF43"/>
  <c r="DF47"/>
  <c r="DF51"/>
  <c r="DF4"/>
  <c r="DF8"/>
  <c r="DF27"/>
  <c r="DF31"/>
  <c r="DF35"/>
  <c r="DF39"/>
  <c r="DF52"/>
  <c r="DF56"/>
  <c r="DF63"/>
  <c r="DD65"/>
  <c r="DD75"/>
  <c r="DD83"/>
  <c r="DD68"/>
  <c r="DD84"/>
  <c r="DD78"/>
  <c r="DD12"/>
  <c r="DD16"/>
  <c r="DD20"/>
  <c r="DD24"/>
  <c r="DD46"/>
  <c r="DD50"/>
  <c r="DD60"/>
  <c r="DD7"/>
  <c r="DD26"/>
  <c r="DD30"/>
  <c r="DD34"/>
  <c r="DD38"/>
  <c r="DD42"/>
  <c r="DD55"/>
  <c r="DD62"/>
  <c r="DD69"/>
  <c r="DD77"/>
  <c r="DD85"/>
  <c r="DD80"/>
  <c r="DD74"/>
  <c r="DD11"/>
  <c r="DD15"/>
  <c r="DD19"/>
  <c r="DD23"/>
  <c r="DD45"/>
  <c r="DD49"/>
  <c r="DD59"/>
  <c r="DD6"/>
  <c r="DD25"/>
  <c r="DD29"/>
  <c r="DD33"/>
  <c r="DD37"/>
  <c r="DD41"/>
  <c r="DD54"/>
  <c r="DD61"/>
  <c r="DD71"/>
  <c r="DD79"/>
  <c r="DD64"/>
  <c r="DD76"/>
  <c r="DD70"/>
  <c r="DD10"/>
  <c r="DD14"/>
  <c r="DD18"/>
  <c r="DD22"/>
  <c r="DD44"/>
  <c r="DD48"/>
  <c r="DD58"/>
  <c r="DD5"/>
  <c r="DD9"/>
  <c r="DD28"/>
  <c r="DD32"/>
  <c r="DD36"/>
  <c r="DD40"/>
  <c r="DD53"/>
  <c r="DD57"/>
  <c r="DD67"/>
  <c r="DD73"/>
  <c r="DD81"/>
  <c r="DD72"/>
  <c r="DD66"/>
  <c r="DD82"/>
  <c r="DD13"/>
  <c r="DD17"/>
  <c r="DD21"/>
  <c r="DD43"/>
  <c r="DD47"/>
  <c r="DD51"/>
  <c r="DD4"/>
  <c r="DD8"/>
  <c r="DD27"/>
  <c r="DD31"/>
  <c r="DD35"/>
  <c r="DD39"/>
  <c r="DD52"/>
  <c r="DD56"/>
  <c r="DD63"/>
  <c r="DB10"/>
  <c r="DB14"/>
  <c r="DB18"/>
  <c r="DB22"/>
  <c r="DB44"/>
  <c r="DB48"/>
  <c r="DB58"/>
  <c r="DB5"/>
  <c r="DB9"/>
  <c r="DB28"/>
  <c r="DB32"/>
  <c r="DB36"/>
  <c r="DB40"/>
  <c r="DB53"/>
  <c r="DB57"/>
  <c r="DB64"/>
  <c r="DB67"/>
  <c r="DB70"/>
  <c r="DB74"/>
  <c r="DB77"/>
  <c r="DB79"/>
  <c r="DB81"/>
  <c r="DB83"/>
  <c r="DB85"/>
  <c r="DB13"/>
  <c r="DB17"/>
  <c r="DB21"/>
  <c r="DB43"/>
  <c r="DB47"/>
  <c r="DB51"/>
  <c r="DB4"/>
  <c r="DB8"/>
  <c r="DB27"/>
  <c r="DB31"/>
  <c r="DB35"/>
  <c r="DB39"/>
  <c r="DB52"/>
  <c r="DB56"/>
  <c r="DB63"/>
  <c r="DB69"/>
  <c r="DB73"/>
  <c r="DB12"/>
  <c r="DB16"/>
  <c r="DB20"/>
  <c r="DB24"/>
  <c r="DB46"/>
  <c r="DB50"/>
  <c r="DB60"/>
  <c r="DB7"/>
  <c r="DB26"/>
  <c r="DB30"/>
  <c r="DB34"/>
  <c r="DB38"/>
  <c r="DB42"/>
  <c r="DB55"/>
  <c r="DB62"/>
  <c r="DB65"/>
  <c r="DB68"/>
  <c r="DB72"/>
  <c r="DB76"/>
  <c r="DB78"/>
  <c r="DB80"/>
  <c r="DB82"/>
  <c r="DB84"/>
  <c r="DB11"/>
  <c r="DB15"/>
  <c r="DB19"/>
  <c r="DB23"/>
  <c r="DB45"/>
  <c r="DB49"/>
  <c r="DB59"/>
  <c r="DB6"/>
  <c r="DB25"/>
  <c r="DB29"/>
  <c r="DB33"/>
  <c r="DB37"/>
  <c r="DB41"/>
  <c r="DB54"/>
  <c r="DB61"/>
  <c r="DB66"/>
  <c r="DB71"/>
  <c r="DB75"/>
  <c r="CZ67"/>
  <c r="CZ13"/>
  <c r="CZ17"/>
  <c r="CZ21"/>
  <c r="CZ43"/>
  <c r="CZ47"/>
  <c r="CZ51"/>
  <c r="CZ4"/>
  <c r="CZ8"/>
  <c r="CZ27"/>
  <c r="CZ31"/>
  <c r="CZ35"/>
  <c r="CZ39"/>
  <c r="CZ52"/>
  <c r="CZ56"/>
  <c r="CZ63"/>
  <c r="CZ68"/>
  <c r="CZ72"/>
  <c r="CZ76"/>
  <c r="CZ78"/>
  <c r="CZ80"/>
  <c r="CZ82"/>
  <c r="CZ84"/>
  <c r="CZ10"/>
  <c r="CZ14"/>
  <c r="CZ18"/>
  <c r="CZ22"/>
  <c r="CZ44"/>
  <c r="CZ48"/>
  <c r="CZ58"/>
  <c r="CZ5"/>
  <c r="CZ9"/>
  <c r="CZ28"/>
  <c r="CZ32"/>
  <c r="CZ36"/>
  <c r="CZ40"/>
  <c r="CZ53"/>
  <c r="CZ57"/>
  <c r="CZ64"/>
  <c r="CZ69"/>
  <c r="CZ73"/>
  <c r="CZ11"/>
  <c r="CZ15"/>
  <c r="CZ19"/>
  <c r="CZ23"/>
  <c r="CZ45"/>
  <c r="CZ49"/>
  <c r="CZ59"/>
  <c r="CZ6"/>
  <c r="CZ25"/>
  <c r="CZ29"/>
  <c r="CZ33"/>
  <c r="CZ37"/>
  <c r="CZ41"/>
  <c r="CZ54"/>
  <c r="CZ61"/>
  <c r="CZ65"/>
  <c r="CZ70"/>
  <c r="CZ74"/>
  <c r="CZ77"/>
  <c r="CZ79"/>
  <c r="CZ81"/>
  <c r="CZ83"/>
  <c r="CZ85"/>
  <c r="CZ12"/>
  <c r="CZ16"/>
  <c r="CZ20"/>
  <c r="CZ24"/>
  <c r="CZ46"/>
  <c r="CZ50"/>
  <c r="CZ60"/>
  <c r="CZ7"/>
  <c r="CZ26"/>
  <c r="CZ30"/>
  <c r="CZ34"/>
  <c r="CZ38"/>
  <c r="CZ42"/>
  <c r="CZ55"/>
  <c r="CZ62"/>
  <c r="CZ66"/>
  <c r="CZ71"/>
  <c r="CZ75"/>
  <c r="CX68"/>
  <c r="CX70"/>
  <c r="CX72"/>
  <c r="CX74"/>
  <c r="CX76"/>
  <c r="CX78"/>
  <c r="CX80"/>
  <c r="CX82"/>
  <c r="CX84"/>
  <c r="CX10"/>
  <c r="CX14"/>
  <c r="CX18"/>
  <c r="CX22"/>
  <c r="CX44"/>
  <c r="CX48"/>
  <c r="CX52"/>
  <c r="CX64"/>
  <c r="CX5"/>
  <c r="CX9"/>
  <c r="CX28"/>
  <c r="CX32"/>
  <c r="CX36"/>
  <c r="CX40"/>
  <c r="CX54"/>
  <c r="CX58"/>
  <c r="CX11"/>
  <c r="CX15"/>
  <c r="CX19"/>
  <c r="CX23"/>
  <c r="CX45"/>
  <c r="CX49"/>
  <c r="CX59"/>
  <c r="CX65"/>
  <c r="CX6"/>
  <c r="CX25"/>
  <c r="CX29"/>
  <c r="CX33"/>
  <c r="CX37"/>
  <c r="CX41"/>
  <c r="CX55"/>
  <c r="CX62"/>
  <c r="CX69"/>
  <c r="CX71"/>
  <c r="CX73"/>
  <c r="CX75"/>
  <c r="CX77"/>
  <c r="CX79"/>
  <c r="CX81"/>
  <c r="CX83"/>
  <c r="CX85"/>
  <c r="CX12"/>
  <c r="CX16"/>
  <c r="CX20"/>
  <c r="CX24"/>
  <c r="CX46"/>
  <c r="CX50"/>
  <c r="CX60"/>
  <c r="CX66"/>
  <c r="CX7"/>
  <c r="CX26"/>
  <c r="CX30"/>
  <c r="CX34"/>
  <c r="CX38"/>
  <c r="CX42"/>
  <c r="CX56"/>
  <c r="CX63"/>
  <c r="CX13"/>
  <c r="CX17"/>
  <c r="CX21"/>
  <c r="CX43"/>
  <c r="CX47"/>
  <c r="CX51"/>
  <c r="CX61"/>
  <c r="CX4"/>
  <c r="CX8"/>
  <c r="CX27"/>
  <c r="CX31"/>
  <c r="CX35"/>
  <c r="CX39"/>
  <c r="CX53"/>
  <c r="CX57"/>
  <c r="CX67"/>
  <c r="CV76"/>
  <c r="CV78"/>
  <c r="CV80"/>
  <c r="CV82"/>
  <c r="CV84"/>
  <c r="CV10"/>
  <c r="CV14"/>
  <c r="CV18"/>
  <c r="CV22"/>
  <c r="CV44"/>
  <c r="CV48"/>
  <c r="CV52"/>
  <c r="CV64"/>
  <c r="CV4"/>
  <c r="CV8"/>
  <c r="CV28"/>
  <c r="CV32"/>
  <c r="CV36"/>
  <c r="CV40"/>
  <c r="CV54"/>
  <c r="CV58"/>
  <c r="CV68"/>
  <c r="CV70"/>
  <c r="E526" i="30" s="1"/>
  <c r="CV71" i="25"/>
  <c r="CV73"/>
  <c r="E528" i="30" s="1"/>
  <c r="CV75" i="25"/>
  <c r="CV11"/>
  <c r="CV15"/>
  <c r="CV19"/>
  <c r="CV23"/>
  <c r="CV45"/>
  <c r="CV49"/>
  <c r="CV59"/>
  <c r="CV66"/>
  <c r="CV7"/>
  <c r="CV27"/>
  <c r="CV31"/>
  <c r="CV35"/>
  <c r="CV39"/>
  <c r="CV53"/>
  <c r="CV57"/>
  <c r="CV67"/>
  <c r="CV77"/>
  <c r="CV79"/>
  <c r="CV81"/>
  <c r="CV83"/>
  <c r="CV85"/>
  <c r="CV12"/>
  <c r="CV16"/>
  <c r="CV20"/>
  <c r="CV24"/>
  <c r="CV46"/>
  <c r="CV50"/>
  <c r="CV60"/>
  <c r="CV65"/>
  <c r="CV6"/>
  <c r="CV26"/>
  <c r="CV30"/>
  <c r="CV34"/>
  <c r="CV38"/>
  <c r="CV42"/>
  <c r="CV56"/>
  <c r="CV63"/>
  <c r="CV69"/>
  <c r="CV72"/>
  <c r="CV74"/>
  <c r="CV25"/>
  <c r="CV13"/>
  <c r="CV17"/>
  <c r="CV21"/>
  <c r="CV43"/>
  <c r="CV47"/>
  <c r="CV51"/>
  <c r="CV61"/>
  <c r="CV5"/>
  <c r="CV9"/>
  <c r="CV29"/>
  <c r="CV33"/>
  <c r="CV37"/>
  <c r="CV41"/>
  <c r="CV55"/>
  <c r="CV62"/>
  <c r="CG5" i="17"/>
  <c r="CG6" s="1"/>
  <c r="CG7" s="1"/>
  <c r="CG8" s="1"/>
  <c r="CG9" s="1"/>
  <c r="CG10" s="1"/>
  <c r="CG11" s="1"/>
  <c r="CG12" s="1"/>
  <c r="CG13" s="1"/>
  <c r="CG14" s="1"/>
  <c r="CG15" s="1"/>
  <c r="CG16" s="1"/>
  <c r="CG17" s="1"/>
  <c r="CG18" s="1"/>
  <c r="CG19" s="1"/>
  <c r="CG20" s="1"/>
  <c r="CG21" s="1"/>
  <c r="CG22" s="1"/>
  <c r="CG23" s="1"/>
  <c r="CG24" s="1"/>
  <c r="CG25" s="1"/>
  <c r="CG26" s="1"/>
  <c r="CT4"/>
  <c r="BN91" i="34"/>
  <c r="BN92" s="1"/>
  <c r="BN93" s="1"/>
  <c r="BN94" s="1"/>
  <c r="BN95" s="1"/>
  <c r="BN96" s="1"/>
  <c r="BN97" s="1"/>
  <c r="BN98" s="1"/>
  <c r="BN99" s="1"/>
  <c r="BN100" s="1"/>
  <c r="BN101" s="1"/>
  <c r="BN102" s="1"/>
  <c r="BN103" s="1"/>
  <c r="BN104" s="1"/>
  <c r="BN105" s="1"/>
  <c r="BN106" s="1"/>
  <c r="BN107" s="1"/>
  <c r="BN108" s="1"/>
  <c r="BN109" s="1"/>
  <c r="BN110" s="1"/>
  <c r="BN111" s="1"/>
  <c r="BN112" s="1"/>
  <c r="BN113" s="1"/>
  <c r="BN114" s="1"/>
  <c r="BN115" s="1"/>
  <c r="BN116" s="1"/>
  <c r="BN117" s="1"/>
  <c r="BN118" s="1"/>
  <c r="BN119" s="1"/>
  <c r="BN120" s="1"/>
  <c r="BN121" s="1"/>
  <c r="BN122" s="1"/>
  <c r="BN123" s="1"/>
  <c r="BN124" s="1"/>
  <c r="BN125" s="1"/>
  <c r="BN126" s="1"/>
  <c r="BN127" s="1"/>
  <c r="BN128" s="1"/>
  <c r="BN129" s="1"/>
  <c r="BN130" s="1"/>
  <c r="BN131" s="1"/>
  <c r="BN132" s="1"/>
  <c r="BN133" s="1"/>
  <c r="BN134" s="1"/>
  <c r="BN135" s="1"/>
  <c r="BN136" s="1"/>
  <c r="BN137" s="1"/>
  <c r="BN138" s="1"/>
  <c r="BN139" s="1"/>
  <c r="BN140" s="1"/>
  <c r="BN141" s="1"/>
  <c r="BN142" s="1"/>
  <c r="BN143" s="1"/>
  <c r="BN144" s="1"/>
  <c r="BN145" s="1"/>
  <c r="BN146" s="1"/>
  <c r="BN147" s="1"/>
  <c r="BN148" s="1"/>
  <c r="BN149" s="1"/>
  <c r="BN150" s="1"/>
  <c r="BN151" s="1"/>
  <c r="BN152" s="1"/>
  <c r="BN153" s="1"/>
  <c r="T205" i="33"/>
  <c r="T233"/>
  <c r="BO93"/>
  <c r="BO94" s="1"/>
  <c r="BO95" s="1"/>
  <c r="BO96" s="1"/>
  <c r="BO97" s="1"/>
  <c r="BO98" s="1"/>
  <c r="BO99" s="1"/>
  <c r="BO100" s="1"/>
  <c r="BO101" s="1"/>
  <c r="BO102" s="1"/>
  <c r="BO103" s="1"/>
  <c r="BO104" s="1"/>
  <c r="BO105" s="1"/>
  <c r="BO106" s="1"/>
  <c r="BO107" s="1"/>
  <c r="BO108" s="1"/>
  <c r="BO109" s="1"/>
  <c r="BO110" s="1"/>
  <c r="BO111" s="1"/>
  <c r="BO112" s="1"/>
  <c r="BO113" s="1"/>
  <c r="BO114" s="1"/>
  <c r="BO115" s="1"/>
  <c r="BO116" s="1"/>
  <c r="BO117" s="1"/>
  <c r="BO118" s="1"/>
  <c r="BO119" s="1"/>
  <c r="BO120" s="1"/>
  <c r="BO121" s="1"/>
  <c r="BO122" s="1"/>
  <c r="BO123" s="1"/>
  <c r="BO124" s="1"/>
  <c r="BO125" s="1"/>
  <c r="BO126" s="1"/>
  <c r="BO127" s="1"/>
  <c r="BO128" s="1"/>
  <c r="BO129" s="1"/>
  <c r="BO130" s="1"/>
  <c r="BO131" s="1"/>
  <c r="BO132" s="1"/>
  <c r="BO133" s="1"/>
  <c r="BO134" s="1"/>
  <c r="BO135" s="1"/>
  <c r="BO136" s="1"/>
  <c r="BO137" s="1"/>
  <c r="BO138" s="1"/>
  <c r="BO139" s="1"/>
  <c r="BO140" s="1"/>
  <c r="BO141" s="1"/>
  <c r="BO142" s="1"/>
  <c r="BO143" s="1"/>
  <c r="BO144" s="1"/>
  <c r="BO145" s="1"/>
  <c r="BO146" s="1"/>
  <c r="BO147" s="1"/>
  <c r="BO148" s="1"/>
  <c r="BO149" s="1"/>
  <c r="BO150" s="1"/>
  <c r="BO151" s="1"/>
  <c r="BO152" s="1"/>
  <c r="BL87"/>
  <c r="BL88" s="1"/>
  <c r="BL89" s="1"/>
  <c r="BL90" s="1"/>
  <c r="BL91" s="1"/>
  <c r="BL92" s="1"/>
  <c r="BL93" s="1"/>
  <c r="BL94" s="1"/>
  <c r="BL95" s="1"/>
  <c r="BL96" s="1"/>
  <c r="BL97" s="1"/>
  <c r="BL98" s="1"/>
  <c r="BL99" s="1"/>
  <c r="BL100" s="1"/>
  <c r="BL101" s="1"/>
  <c r="BL102" s="1"/>
  <c r="BL103" s="1"/>
  <c r="BL104" s="1"/>
  <c r="BL105" s="1"/>
  <c r="BL106" s="1"/>
  <c r="BL107" s="1"/>
  <c r="BL108" s="1"/>
  <c r="BL109" s="1"/>
  <c r="BL110" s="1"/>
  <c r="BL111" s="1"/>
  <c r="BL112" s="1"/>
  <c r="BL113" s="1"/>
  <c r="BL114" s="1"/>
  <c r="BL115" s="1"/>
  <c r="BL116" s="1"/>
  <c r="BL117" s="1"/>
  <c r="BL118" s="1"/>
  <c r="BL119" s="1"/>
  <c r="BL120" s="1"/>
  <c r="BL121" s="1"/>
  <c r="BL122" s="1"/>
  <c r="BL123" s="1"/>
  <c r="BL124" s="1"/>
  <c r="BL125" s="1"/>
  <c r="BL126" s="1"/>
  <c r="BL127" s="1"/>
  <c r="BL128" s="1"/>
  <c r="BL129" s="1"/>
  <c r="BL130" s="1"/>
  <c r="BL131" s="1"/>
  <c r="BL132" s="1"/>
  <c r="BL133" s="1"/>
  <c r="BL134" s="1"/>
  <c r="BL135" s="1"/>
  <c r="BL136" s="1"/>
  <c r="BL137" s="1"/>
  <c r="BL138" s="1"/>
  <c r="BL139" s="1"/>
  <c r="BL140" s="1"/>
  <c r="BL141" s="1"/>
  <c r="BL142" s="1"/>
  <c r="BL143" s="1"/>
  <c r="BL144" s="1"/>
  <c r="BL145" s="1"/>
  <c r="BL146" s="1"/>
  <c r="BL147" s="1"/>
  <c r="BL148" s="1"/>
  <c r="BL149" s="1"/>
  <c r="BL150" s="1"/>
  <c r="BL151" s="1"/>
  <c r="BL152" s="1"/>
  <c r="DI68" i="25"/>
  <c r="DI76"/>
  <c r="DI84"/>
  <c r="DI73"/>
  <c r="DI67"/>
  <c r="DI83"/>
  <c r="DI7"/>
  <c r="DI26"/>
  <c r="DI30"/>
  <c r="DI34"/>
  <c r="DI38"/>
  <c r="DI42"/>
  <c r="DI55"/>
  <c r="DI62"/>
  <c r="DI12"/>
  <c r="DI16"/>
  <c r="DI20"/>
  <c r="DI24"/>
  <c r="DI46"/>
  <c r="DI50"/>
  <c r="DI60"/>
  <c r="DI70"/>
  <c r="DI78"/>
  <c r="DI64"/>
  <c r="DI77"/>
  <c r="DI71"/>
  <c r="DI4"/>
  <c r="DI8"/>
  <c r="DI27"/>
  <c r="DI31"/>
  <c r="DI35"/>
  <c r="DI39"/>
  <c r="DI52"/>
  <c r="DI56"/>
  <c r="DI63"/>
  <c r="DI13"/>
  <c r="DI17"/>
  <c r="DI21"/>
  <c r="DI43"/>
  <c r="DI47"/>
  <c r="DI51"/>
  <c r="DI72"/>
  <c r="DI80"/>
  <c r="DI65"/>
  <c r="DI81"/>
  <c r="DI75"/>
  <c r="DI5"/>
  <c r="DI9"/>
  <c r="DI28"/>
  <c r="DI32"/>
  <c r="DI36"/>
  <c r="DI40"/>
  <c r="DI53"/>
  <c r="DI57"/>
  <c r="DI10"/>
  <c r="DI14"/>
  <c r="DI18"/>
  <c r="DI22"/>
  <c r="DI44"/>
  <c r="DI48"/>
  <c r="DI58"/>
  <c r="DI66"/>
  <c r="DI74"/>
  <c r="DI82"/>
  <c r="DI69"/>
  <c r="DI85"/>
  <c r="DI79"/>
  <c r="DI6"/>
  <c r="DI25"/>
  <c r="DI29"/>
  <c r="DI33"/>
  <c r="DI37"/>
  <c r="DI41"/>
  <c r="DI54"/>
  <c r="DI61"/>
  <c r="DI11"/>
  <c r="DI15"/>
  <c r="DI19"/>
  <c r="DI23"/>
  <c r="DI45"/>
  <c r="DI49"/>
  <c r="DI59"/>
  <c r="DG68"/>
  <c r="DG76"/>
  <c r="DG84"/>
  <c r="DG73"/>
  <c r="DG67"/>
  <c r="DG83"/>
  <c r="DG7"/>
  <c r="DG26"/>
  <c r="DG30"/>
  <c r="DG34"/>
  <c r="DG38"/>
  <c r="DG42"/>
  <c r="DG55"/>
  <c r="DG62"/>
  <c r="DG12"/>
  <c r="DG16"/>
  <c r="DG20"/>
  <c r="DG24"/>
  <c r="DG46"/>
  <c r="DG50"/>
  <c r="DG60"/>
  <c r="DG70"/>
  <c r="DG78"/>
  <c r="DG64"/>
  <c r="DG77"/>
  <c r="DG71"/>
  <c r="DG4"/>
  <c r="DG8"/>
  <c r="DG27"/>
  <c r="DG31"/>
  <c r="DG35"/>
  <c r="DG39"/>
  <c r="DG52"/>
  <c r="DG56"/>
  <c r="DG63"/>
  <c r="DG13"/>
  <c r="DG17"/>
  <c r="DG21"/>
  <c r="DG43"/>
  <c r="DG47"/>
  <c r="DG51"/>
  <c r="DG72"/>
  <c r="DG80"/>
  <c r="DG65"/>
  <c r="DG81"/>
  <c r="DG75"/>
  <c r="DG5"/>
  <c r="DG9"/>
  <c r="DG28"/>
  <c r="DG32"/>
  <c r="DG36"/>
  <c r="DG40"/>
  <c r="DG53"/>
  <c r="DG57"/>
  <c r="DG10"/>
  <c r="DG14"/>
  <c r="DG18"/>
  <c r="DG22"/>
  <c r="DG44"/>
  <c r="DG48"/>
  <c r="DG58"/>
  <c r="DG66"/>
  <c r="DG74"/>
  <c r="DG82"/>
  <c r="DG69"/>
  <c r="DG85"/>
  <c r="DG79"/>
  <c r="DG6"/>
  <c r="DG25"/>
  <c r="DG29"/>
  <c r="DG33"/>
  <c r="DG37"/>
  <c r="DG41"/>
  <c r="DG54"/>
  <c r="DG61"/>
  <c r="DG11"/>
  <c r="DG15"/>
  <c r="DG19"/>
  <c r="DG23"/>
  <c r="DG45"/>
  <c r="DG49"/>
  <c r="DG59"/>
  <c r="DE68"/>
  <c r="DE70"/>
  <c r="DE72"/>
  <c r="DE74"/>
  <c r="DE76"/>
  <c r="DE78"/>
  <c r="DE80"/>
  <c r="DE82"/>
  <c r="DE84"/>
  <c r="DE5"/>
  <c r="DE9"/>
  <c r="DE28"/>
  <c r="DE32"/>
  <c r="DE36"/>
  <c r="DE40"/>
  <c r="DE53"/>
  <c r="DE57"/>
  <c r="DE64"/>
  <c r="DE10"/>
  <c r="DE14"/>
  <c r="DE18"/>
  <c r="DE22"/>
  <c r="DE44"/>
  <c r="DE48"/>
  <c r="DE58"/>
  <c r="DE4"/>
  <c r="DE8"/>
  <c r="DE27"/>
  <c r="DE31"/>
  <c r="DE35"/>
  <c r="DE39"/>
  <c r="DE52"/>
  <c r="DE56"/>
  <c r="DE63"/>
  <c r="DE67"/>
  <c r="DE13"/>
  <c r="DE17"/>
  <c r="DE21"/>
  <c r="DE43"/>
  <c r="DE47"/>
  <c r="DE51"/>
  <c r="DE69"/>
  <c r="DE71"/>
  <c r="DE73"/>
  <c r="DE75"/>
  <c r="DE77"/>
  <c r="DE79"/>
  <c r="DE81"/>
  <c r="DE83"/>
  <c r="DE85"/>
  <c r="DE7"/>
  <c r="DE26"/>
  <c r="DE30"/>
  <c r="DE34"/>
  <c r="DE38"/>
  <c r="DE42"/>
  <c r="DE55"/>
  <c r="DE62"/>
  <c r="DE66"/>
  <c r="DE12"/>
  <c r="DE16"/>
  <c r="DE20"/>
  <c r="DE24"/>
  <c r="DE46"/>
  <c r="DE50"/>
  <c r="DE60"/>
  <c r="DE6"/>
  <c r="DE25"/>
  <c r="DE29"/>
  <c r="DE33"/>
  <c r="DE37"/>
  <c r="DE41"/>
  <c r="DE54"/>
  <c r="DE61"/>
  <c r="DE65"/>
  <c r="DE11"/>
  <c r="DE15"/>
  <c r="DE19"/>
  <c r="DE23"/>
  <c r="DE45"/>
  <c r="DE49"/>
  <c r="DE59"/>
  <c r="DC71"/>
  <c r="DC79"/>
  <c r="DC64"/>
  <c r="DC76"/>
  <c r="DC70"/>
  <c r="DC65"/>
  <c r="DC7"/>
  <c r="DC26"/>
  <c r="DC30"/>
  <c r="DC34"/>
  <c r="DC38"/>
  <c r="DC42"/>
  <c r="DC55"/>
  <c r="DC62"/>
  <c r="DC12"/>
  <c r="DC16"/>
  <c r="DC20"/>
  <c r="DC24"/>
  <c r="DC46"/>
  <c r="DC50"/>
  <c r="DC60"/>
  <c r="DC69"/>
  <c r="DC77"/>
  <c r="DC85"/>
  <c r="DC80"/>
  <c r="DC74"/>
  <c r="DC4"/>
  <c r="DC8"/>
  <c r="DC27"/>
  <c r="DC31"/>
  <c r="DC35"/>
  <c r="DC39"/>
  <c r="DC52"/>
  <c r="DC56"/>
  <c r="DC63"/>
  <c r="DC13"/>
  <c r="DC17"/>
  <c r="DC21"/>
  <c r="DC43"/>
  <c r="DC47"/>
  <c r="DC51"/>
  <c r="DC75"/>
  <c r="DC83"/>
  <c r="DC68"/>
  <c r="DC84"/>
  <c r="DC78"/>
  <c r="DC5"/>
  <c r="DC9"/>
  <c r="DC28"/>
  <c r="DC32"/>
  <c r="DC36"/>
  <c r="DC40"/>
  <c r="DC53"/>
  <c r="DC57"/>
  <c r="DC10"/>
  <c r="DC14"/>
  <c r="DC18"/>
  <c r="DC22"/>
  <c r="DC44"/>
  <c r="DC48"/>
  <c r="DC58"/>
  <c r="DC67"/>
  <c r="DC73"/>
  <c r="DC81"/>
  <c r="DC72"/>
  <c r="DC66"/>
  <c r="DC82"/>
  <c r="DC6"/>
  <c r="DC25"/>
  <c r="DC29"/>
  <c r="DC33"/>
  <c r="DC37"/>
  <c r="DC41"/>
  <c r="DC54"/>
  <c r="DC61"/>
  <c r="DC11"/>
  <c r="DC15"/>
  <c r="DC19"/>
  <c r="DC23"/>
  <c r="DC45"/>
  <c r="DC49"/>
  <c r="DC59"/>
  <c r="DA76"/>
  <c r="DA78"/>
  <c r="DA80"/>
  <c r="DA82"/>
  <c r="DA84"/>
  <c r="DA5"/>
  <c r="DA9"/>
  <c r="DA28"/>
  <c r="DA32"/>
  <c r="DA36"/>
  <c r="DA40"/>
  <c r="DA53"/>
  <c r="DA57"/>
  <c r="DA64"/>
  <c r="DA10"/>
  <c r="DA14"/>
  <c r="DA18"/>
  <c r="DA22"/>
  <c r="DA44"/>
  <c r="DA48"/>
  <c r="DA58"/>
  <c r="DA68"/>
  <c r="DA70"/>
  <c r="DA72"/>
  <c r="DA74"/>
  <c r="DA4"/>
  <c r="DA8"/>
  <c r="DA27"/>
  <c r="DA31"/>
  <c r="DA35"/>
  <c r="DA39"/>
  <c r="DA52"/>
  <c r="DA56"/>
  <c r="DA63"/>
  <c r="DA67"/>
  <c r="DA13"/>
  <c r="DA17"/>
  <c r="DA21"/>
  <c r="DA43"/>
  <c r="DA47"/>
  <c r="DA51"/>
  <c r="DA77"/>
  <c r="DA79"/>
  <c r="DA81"/>
  <c r="DA83"/>
  <c r="DA85"/>
  <c r="DA7"/>
  <c r="DA26"/>
  <c r="DA30"/>
  <c r="DA34"/>
  <c r="DA38"/>
  <c r="DA42"/>
  <c r="DA55"/>
  <c r="DA62"/>
  <c r="DA66"/>
  <c r="DA12"/>
  <c r="DA16"/>
  <c r="DA20"/>
  <c r="DA24"/>
  <c r="DA46"/>
  <c r="DA50"/>
  <c r="DA60"/>
  <c r="DA69"/>
  <c r="DA71"/>
  <c r="DA73"/>
  <c r="DA75"/>
  <c r="DA6"/>
  <c r="DA25"/>
  <c r="DA29"/>
  <c r="DA33"/>
  <c r="DA37"/>
  <c r="DA41"/>
  <c r="DA54"/>
  <c r="DA61"/>
  <c r="DA65"/>
  <c r="DA11"/>
  <c r="DA15"/>
  <c r="DA19"/>
  <c r="DA23"/>
  <c r="DA45"/>
  <c r="DA49"/>
  <c r="DA59"/>
  <c r="CY68"/>
  <c r="CY76"/>
  <c r="CY84"/>
  <c r="CY69"/>
  <c r="CY85"/>
  <c r="CY71"/>
  <c r="CY4"/>
  <c r="CY8"/>
  <c r="CY27"/>
  <c r="CY31"/>
  <c r="CY35"/>
  <c r="CY39"/>
  <c r="CY53"/>
  <c r="CY57"/>
  <c r="CY11"/>
  <c r="CY15"/>
  <c r="CY19"/>
  <c r="CY23"/>
  <c r="CY45"/>
  <c r="CY49"/>
  <c r="CY60"/>
  <c r="CY70"/>
  <c r="CY78"/>
  <c r="CY64"/>
  <c r="CY73"/>
  <c r="CY58"/>
  <c r="CY75"/>
  <c r="CY5"/>
  <c r="CY9"/>
  <c r="CY28"/>
  <c r="CY32"/>
  <c r="CY36"/>
  <c r="CY40"/>
  <c r="CY54"/>
  <c r="CY62"/>
  <c r="CY12"/>
  <c r="CY16"/>
  <c r="CY20"/>
  <c r="CY24"/>
  <c r="CY46"/>
  <c r="CY50"/>
  <c r="CY72"/>
  <c r="CY80"/>
  <c r="CY61"/>
  <c r="CY77"/>
  <c r="CY52"/>
  <c r="CY79"/>
  <c r="CY6"/>
  <c r="CY25"/>
  <c r="CY29"/>
  <c r="CY33"/>
  <c r="CY37"/>
  <c r="CY41"/>
  <c r="CY55"/>
  <c r="CY63"/>
  <c r="CY13"/>
  <c r="CY17"/>
  <c r="CY21"/>
  <c r="CY43"/>
  <c r="CY47"/>
  <c r="CY51"/>
  <c r="CY66"/>
  <c r="CY74"/>
  <c r="CY82"/>
  <c r="CY65"/>
  <c r="CY81"/>
  <c r="CY67"/>
  <c r="CY83"/>
  <c r="CY7"/>
  <c r="CY26"/>
  <c r="CY30"/>
  <c r="CY34"/>
  <c r="CY38"/>
  <c r="CY42"/>
  <c r="CY56"/>
  <c r="CY10"/>
  <c r="CY14"/>
  <c r="CY18"/>
  <c r="CY22"/>
  <c r="CY44"/>
  <c r="CY48"/>
  <c r="CY59"/>
  <c r="CW5"/>
  <c r="CW9"/>
  <c r="CW28"/>
  <c r="CW32"/>
  <c r="CW36"/>
  <c r="CW40"/>
  <c r="CW54"/>
  <c r="CW58"/>
  <c r="CW11"/>
  <c r="CW15"/>
  <c r="CW19"/>
  <c r="CW23"/>
  <c r="CW45"/>
  <c r="CW49"/>
  <c r="CW59"/>
  <c r="CW66"/>
  <c r="CW71"/>
  <c r="CW75"/>
  <c r="CW77"/>
  <c r="CW79"/>
  <c r="CW81"/>
  <c r="CW83"/>
  <c r="CW85"/>
  <c r="CW6"/>
  <c r="CW25"/>
  <c r="CW29"/>
  <c r="CW33"/>
  <c r="CW37"/>
  <c r="CW41"/>
  <c r="CW55"/>
  <c r="CW62"/>
  <c r="CW10"/>
  <c r="CW14"/>
  <c r="CW18"/>
  <c r="CW22"/>
  <c r="CW44"/>
  <c r="CW48"/>
  <c r="CW52"/>
  <c r="CW64"/>
  <c r="CW68"/>
  <c r="CW72"/>
  <c r="CW7"/>
  <c r="CW26"/>
  <c r="CW30"/>
  <c r="CW34"/>
  <c r="CW38"/>
  <c r="CW42"/>
  <c r="CW56"/>
  <c r="CW63"/>
  <c r="CW13"/>
  <c r="CW17"/>
  <c r="CW21"/>
  <c r="CW43"/>
  <c r="CW47"/>
  <c r="CW51"/>
  <c r="CW61"/>
  <c r="CW69"/>
  <c r="CW73"/>
  <c r="CW76"/>
  <c r="CW78"/>
  <c r="CW80"/>
  <c r="CW82"/>
  <c r="CW84"/>
  <c r="CW4"/>
  <c r="CW8"/>
  <c r="CW27"/>
  <c r="CW31"/>
  <c r="CW35"/>
  <c r="CW39"/>
  <c r="CW53"/>
  <c r="CW57"/>
  <c r="CW67"/>
  <c r="CW12"/>
  <c r="CW16"/>
  <c r="CW20"/>
  <c r="CW24"/>
  <c r="CW46"/>
  <c r="CW50"/>
  <c r="CW60"/>
  <c r="CW65"/>
  <c r="CW70"/>
  <c r="CW74"/>
  <c r="CU5"/>
  <c r="CU9"/>
  <c r="CU29"/>
  <c r="CU33"/>
  <c r="CU37"/>
  <c r="CU41"/>
  <c r="CU55"/>
  <c r="CU62"/>
  <c r="CU10"/>
  <c r="CU14"/>
  <c r="CU18"/>
  <c r="CU22"/>
  <c r="CU43"/>
  <c r="CU47"/>
  <c r="CU51"/>
  <c r="CU61"/>
  <c r="CU69"/>
  <c r="CU73"/>
  <c r="CU76"/>
  <c r="CU78"/>
  <c r="CU80"/>
  <c r="CU82"/>
  <c r="CU84"/>
  <c r="CU4"/>
  <c r="CU8"/>
  <c r="CU28"/>
  <c r="CU32"/>
  <c r="CU36"/>
  <c r="CU40"/>
  <c r="CU54"/>
  <c r="CU58"/>
  <c r="CU11"/>
  <c r="CU15"/>
  <c r="CU19"/>
  <c r="CU23"/>
  <c r="CU44"/>
  <c r="CU48"/>
  <c r="CU52"/>
  <c r="CU64"/>
  <c r="CU68"/>
  <c r="CU72"/>
  <c r="CU7"/>
  <c r="CU27"/>
  <c r="CU31"/>
  <c r="CU35"/>
  <c r="CU39"/>
  <c r="CU53"/>
  <c r="CU57"/>
  <c r="CU67"/>
  <c r="CU12"/>
  <c r="CU16"/>
  <c r="CU20"/>
  <c r="CU24"/>
  <c r="CU45"/>
  <c r="CU49"/>
  <c r="CU59"/>
  <c r="CU66"/>
  <c r="CU71"/>
  <c r="CU75"/>
  <c r="CU77"/>
  <c r="CU79"/>
  <c r="CU81"/>
  <c r="CU83"/>
  <c r="CU85"/>
  <c r="CU6"/>
  <c r="CU26"/>
  <c r="CU30"/>
  <c r="CU34"/>
  <c r="CU38"/>
  <c r="CU42"/>
  <c r="CU56"/>
  <c r="CU63"/>
  <c r="CU13"/>
  <c r="CU17"/>
  <c r="CU21"/>
  <c r="CU25"/>
  <c r="CU46"/>
  <c r="CU50"/>
  <c r="CU60"/>
  <c r="CU65"/>
  <c r="CU70"/>
  <c r="CU74"/>
  <c r="CB6"/>
  <c r="CB7" s="1"/>
  <c r="CB8" s="1"/>
  <c r="CB9" s="1"/>
  <c r="CB10" s="1"/>
  <c r="CR4"/>
  <c r="BO91" i="34"/>
  <c r="BO92" s="1"/>
  <c r="BO93" s="1"/>
  <c r="BO94" s="1"/>
  <c r="BO95" s="1"/>
  <c r="BO96" s="1"/>
  <c r="BO97" s="1"/>
  <c r="BO98" s="1"/>
  <c r="BO99" s="1"/>
  <c r="BO100" s="1"/>
  <c r="BO101" s="1"/>
  <c r="BO102" s="1"/>
  <c r="BO103" s="1"/>
  <c r="BO104" s="1"/>
  <c r="BO105" s="1"/>
  <c r="BO106" s="1"/>
  <c r="BO107" s="1"/>
  <c r="BO108" s="1"/>
  <c r="BO109" s="1"/>
  <c r="BO110" s="1"/>
  <c r="BO111" s="1"/>
  <c r="BO112" s="1"/>
  <c r="BO113" s="1"/>
  <c r="BO114" s="1"/>
  <c r="BO115" s="1"/>
  <c r="BO116" s="1"/>
  <c r="BO117" s="1"/>
  <c r="BO118" s="1"/>
  <c r="BO119" s="1"/>
  <c r="BO120" s="1"/>
  <c r="BO121" s="1"/>
  <c r="BO122" s="1"/>
  <c r="BO123" s="1"/>
  <c r="BO124" s="1"/>
  <c r="BO125" s="1"/>
  <c r="BO126" s="1"/>
  <c r="BO127" s="1"/>
  <c r="BO128" s="1"/>
  <c r="BO129" s="1"/>
  <c r="BO130" s="1"/>
  <c r="BO131" s="1"/>
  <c r="BO132" s="1"/>
  <c r="BO133" s="1"/>
  <c r="BO134" s="1"/>
  <c r="BO135" s="1"/>
  <c r="BO136" s="1"/>
  <c r="BO137" s="1"/>
  <c r="BO138" s="1"/>
  <c r="BO139" s="1"/>
  <c r="BO140" s="1"/>
  <c r="BO141" s="1"/>
  <c r="BO142" s="1"/>
  <c r="BO143" s="1"/>
  <c r="BO144" s="1"/>
  <c r="BO145" s="1"/>
  <c r="BO146" s="1"/>
  <c r="BO147" s="1"/>
  <c r="BO148" s="1"/>
  <c r="BO149" s="1"/>
  <c r="BO150" s="1"/>
  <c r="BO151" s="1"/>
  <c r="BO152" s="1"/>
  <c r="BO153" s="1"/>
  <c r="BW92"/>
  <c r="BW93" s="1"/>
  <c r="BW94" s="1"/>
  <c r="BW95" s="1"/>
  <c r="BW96" s="1"/>
  <c r="BW97" s="1"/>
  <c r="BW98" s="1"/>
  <c r="BW99" s="1"/>
  <c r="BW100" s="1"/>
  <c r="BW101" s="1"/>
  <c r="BW102" s="1"/>
  <c r="BW103" s="1"/>
  <c r="BW104" s="1"/>
  <c r="BW105" s="1"/>
  <c r="BW106" s="1"/>
  <c r="BW107" s="1"/>
  <c r="BW108" s="1"/>
  <c r="BW109" s="1"/>
  <c r="BW110" s="1"/>
  <c r="BW111" s="1"/>
  <c r="BW112" s="1"/>
  <c r="BW113" s="1"/>
  <c r="BW114" s="1"/>
  <c r="BW115" s="1"/>
  <c r="BW116" s="1"/>
  <c r="BW117" s="1"/>
  <c r="BW118" s="1"/>
  <c r="BW119" s="1"/>
  <c r="BW120" s="1"/>
  <c r="BW121" s="1"/>
  <c r="BW122" s="1"/>
  <c r="BW123" s="1"/>
  <c r="BW124" s="1"/>
  <c r="BW125" s="1"/>
  <c r="BW126" s="1"/>
  <c r="BW127" s="1"/>
  <c r="BW128" s="1"/>
  <c r="BW129" s="1"/>
  <c r="BW130" s="1"/>
  <c r="BW131" s="1"/>
  <c r="BW132" s="1"/>
  <c r="BW133" s="1"/>
  <c r="BW134" s="1"/>
  <c r="BW135" s="1"/>
  <c r="BW136" s="1"/>
  <c r="BW137" s="1"/>
  <c r="BW138" s="1"/>
  <c r="BW139" s="1"/>
  <c r="BW140" s="1"/>
  <c r="BW141" s="1"/>
  <c r="BW142" s="1"/>
  <c r="BW143" s="1"/>
  <c r="BW144" s="1"/>
  <c r="BW145" s="1"/>
  <c r="BW146" s="1"/>
  <c r="BW147" s="1"/>
  <c r="BW148" s="1"/>
  <c r="BN92" i="33"/>
  <c r="BN93" s="1"/>
  <c r="BN94" s="1"/>
  <c r="BN95" s="1"/>
  <c r="BN96" s="1"/>
  <c r="BN97" s="1"/>
  <c r="BN98" s="1"/>
  <c r="BN99" s="1"/>
  <c r="BN100" s="1"/>
  <c r="BN101" s="1"/>
  <c r="BN102" s="1"/>
  <c r="BN103" s="1"/>
  <c r="BN104" s="1"/>
  <c r="BN105" s="1"/>
  <c r="BN106" s="1"/>
  <c r="BN107" s="1"/>
  <c r="BN108" s="1"/>
  <c r="BN109" s="1"/>
  <c r="BN110" s="1"/>
  <c r="BN111" s="1"/>
  <c r="BN112" s="1"/>
  <c r="BN113" s="1"/>
  <c r="BN114" s="1"/>
  <c r="BN115" s="1"/>
  <c r="BN116" s="1"/>
  <c r="BN117" s="1"/>
  <c r="BN118" s="1"/>
  <c r="BN119" s="1"/>
  <c r="BN120" s="1"/>
  <c r="BN121" s="1"/>
  <c r="BN122" s="1"/>
  <c r="BN123" s="1"/>
  <c r="BN124" s="1"/>
  <c r="BN125" s="1"/>
  <c r="BN126" s="1"/>
  <c r="BN127" s="1"/>
  <c r="BN128" s="1"/>
  <c r="BN129" s="1"/>
  <c r="BN130" s="1"/>
  <c r="BN131" s="1"/>
  <c r="BN132" s="1"/>
  <c r="BN133" s="1"/>
  <c r="BN134" s="1"/>
  <c r="BN135" s="1"/>
  <c r="BN136" s="1"/>
  <c r="BN137" s="1"/>
  <c r="BN138" s="1"/>
  <c r="BN139" s="1"/>
  <c r="BN140" s="1"/>
  <c r="BN141" s="1"/>
  <c r="BN142" s="1"/>
  <c r="BN143" s="1"/>
  <c r="BN144" s="1"/>
  <c r="BN145" s="1"/>
  <c r="BN146" s="1"/>
  <c r="BN147" s="1"/>
  <c r="BM91"/>
  <c r="BM92" s="1"/>
  <c r="BM93" s="1"/>
  <c r="BM94" s="1"/>
  <c r="BM95" s="1"/>
  <c r="BM96" s="1"/>
  <c r="BM97" s="1"/>
  <c r="BM98" s="1"/>
  <c r="BM99" s="1"/>
  <c r="BM100" s="1"/>
  <c r="BM101" s="1"/>
  <c r="BM102" s="1"/>
  <c r="BM103" s="1"/>
  <c r="BM104" s="1"/>
  <c r="BM105" s="1"/>
  <c r="BM106" s="1"/>
  <c r="BM107" s="1"/>
  <c r="BM108" s="1"/>
  <c r="BM109" s="1"/>
  <c r="BM110" s="1"/>
  <c r="BM111" s="1"/>
  <c r="BM112" s="1"/>
  <c r="BM113" s="1"/>
  <c r="BM114" s="1"/>
  <c r="BM115" s="1"/>
  <c r="BM116" s="1"/>
  <c r="BM117" s="1"/>
  <c r="BM118" s="1"/>
  <c r="BM119" s="1"/>
  <c r="BM120" s="1"/>
  <c r="BM121" s="1"/>
  <c r="BM122" s="1"/>
  <c r="BM123" s="1"/>
  <c r="BM124" s="1"/>
  <c r="BM125" s="1"/>
  <c r="BM126" s="1"/>
  <c r="BM127" s="1"/>
  <c r="BM128" s="1"/>
  <c r="BM129" s="1"/>
  <c r="BM130" s="1"/>
  <c r="BM131" s="1"/>
  <c r="BM132" s="1"/>
  <c r="BM133" s="1"/>
  <c r="BM134" s="1"/>
  <c r="BM135" s="1"/>
  <c r="BM136" s="1"/>
  <c r="BM137" s="1"/>
  <c r="BM138" s="1"/>
  <c r="BM139" s="1"/>
  <c r="BM140" s="1"/>
  <c r="BM141" s="1"/>
  <c r="BM142" s="1"/>
  <c r="BM143" s="1"/>
  <c r="BM144" s="1"/>
  <c r="BM145" s="1"/>
  <c r="BM146" s="1"/>
  <c r="BM147" s="1"/>
  <c r="BM148" s="1"/>
  <c r="BM149" s="1"/>
  <c r="BM150" s="1"/>
  <c r="BM151" s="1"/>
  <c r="BM152" s="1"/>
  <c r="BK94"/>
  <c r="BK95" s="1"/>
  <c r="BK96" s="1"/>
  <c r="BK97" s="1"/>
  <c r="BK98" s="1"/>
  <c r="BK99" s="1"/>
  <c r="BK100" s="1"/>
  <c r="BK101" s="1"/>
  <c r="BK102" s="1"/>
  <c r="BK103" s="1"/>
  <c r="BK104" s="1"/>
  <c r="BK105" s="1"/>
  <c r="BK106" s="1"/>
  <c r="BK107" s="1"/>
  <c r="BK108" s="1"/>
  <c r="BK109" s="1"/>
  <c r="BK110" s="1"/>
  <c r="BK111" s="1"/>
  <c r="BK112" s="1"/>
  <c r="BK113" s="1"/>
  <c r="BK114" s="1"/>
  <c r="BK115" s="1"/>
  <c r="BK116" s="1"/>
  <c r="BK117" s="1"/>
  <c r="BK118" s="1"/>
  <c r="BK119" s="1"/>
  <c r="BK120" s="1"/>
  <c r="BK121" s="1"/>
  <c r="BK122" s="1"/>
  <c r="BK123" s="1"/>
  <c r="BK124" s="1"/>
  <c r="BK125" s="1"/>
  <c r="BK126" s="1"/>
  <c r="BK127" s="1"/>
  <c r="BK128" s="1"/>
  <c r="BK129" s="1"/>
  <c r="BK130" s="1"/>
  <c r="BK131" s="1"/>
  <c r="BK132" s="1"/>
  <c r="BK133" s="1"/>
  <c r="BK134" s="1"/>
  <c r="BK135" s="1"/>
  <c r="BK136" s="1"/>
  <c r="BK137" s="1"/>
  <c r="BK138" s="1"/>
  <c r="BK139" s="1"/>
  <c r="BK140" s="1"/>
  <c r="BK141" s="1"/>
  <c r="BK142" s="1"/>
  <c r="BK143" s="1"/>
  <c r="BK144" s="1"/>
  <c r="BK145" s="1"/>
  <c r="BK146" s="1"/>
  <c r="BK147" s="1"/>
  <c r="BK148" s="1"/>
  <c r="BK149" s="1"/>
  <c r="BK150" s="1"/>
  <c r="BK151" s="1"/>
  <c r="BK152" s="1"/>
  <c r="BP88"/>
  <c r="BP89" s="1"/>
  <c r="BP90" s="1"/>
  <c r="BP91" s="1"/>
  <c r="BP92" s="1"/>
  <c r="BP93" s="1"/>
  <c r="BP94" s="1"/>
  <c r="BP95" s="1"/>
  <c r="BP96" s="1"/>
  <c r="BP97" s="1"/>
  <c r="BP98" s="1"/>
  <c r="BP99" s="1"/>
  <c r="BP100" s="1"/>
  <c r="BP101" s="1"/>
  <c r="BP102" s="1"/>
  <c r="BP103" s="1"/>
  <c r="BP104" s="1"/>
  <c r="BP105" s="1"/>
  <c r="BP106" s="1"/>
  <c r="BP107" s="1"/>
  <c r="BP108" s="1"/>
  <c r="BP109" s="1"/>
  <c r="BP110" s="1"/>
  <c r="BP111" s="1"/>
  <c r="BP112" s="1"/>
  <c r="BP113" s="1"/>
  <c r="BP114" s="1"/>
  <c r="BP115" s="1"/>
  <c r="BP116" s="1"/>
  <c r="BP117" s="1"/>
  <c r="BP118" s="1"/>
  <c r="BP119" s="1"/>
  <c r="BP120" s="1"/>
  <c r="BP121" s="1"/>
  <c r="BP122" s="1"/>
  <c r="BP123" s="1"/>
  <c r="BP124" s="1"/>
  <c r="BP125" s="1"/>
  <c r="BP126" s="1"/>
  <c r="BP127" s="1"/>
  <c r="BP128" s="1"/>
  <c r="BP129" s="1"/>
  <c r="BP130" s="1"/>
  <c r="BP131" s="1"/>
  <c r="BP132" s="1"/>
  <c r="BP133" s="1"/>
  <c r="BP134" s="1"/>
  <c r="BP135" s="1"/>
  <c r="BP136" s="1"/>
  <c r="BP137" s="1"/>
  <c r="BP138" s="1"/>
  <c r="BP139" s="1"/>
  <c r="BP140" s="1"/>
  <c r="BP141" s="1"/>
  <c r="BP142" s="1"/>
  <c r="BP143" s="1"/>
  <c r="BP144" s="1"/>
  <c r="BP145" s="1"/>
  <c r="BP146" s="1"/>
  <c r="BP147" s="1"/>
  <c r="BP148" s="1"/>
  <c r="BP149" s="1"/>
  <c r="BP150" s="1"/>
  <c r="BP151" s="1"/>
  <c r="BP152" s="1"/>
  <c r="BH107" i="34"/>
  <c r="BH108" s="1"/>
  <c r="BH109" s="1"/>
  <c r="BH110" s="1"/>
  <c r="BH111" s="1"/>
  <c r="BH112" s="1"/>
  <c r="BH113" s="1"/>
  <c r="BH114" s="1"/>
  <c r="BH115" s="1"/>
  <c r="BH116" s="1"/>
  <c r="BH117" s="1"/>
  <c r="BH118" s="1"/>
  <c r="BH119" s="1"/>
  <c r="BH120" s="1"/>
  <c r="BH121" s="1"/>
  <c r="BH122" s="1"/>
  <c r="BH123" s="1"/>
  <c r="BH124" s="1"/>
  <c r="BH125" s="1"/>
  <c r="BH126" s="1"/>
  <c r="BH127" s="1"/>
  <c r="BH128" s="1"/>
  <c r="BH129" s="1"/>
  <c r="BH130" s="1"/>
  <c r="BH131" s="1"/>
  <c r="BH132" s="1"/>
  <c r="BH133" s="1"/>
  <c r="BH134" s="1"/>
  <c r="BH135" s="1"/>
  <c r="BH136" s="1"/>
  <c r="BH137" s="1"/>
  <c r="BH138" s="1"/>
  <c r="BH139" s="1"/>
  <c r="BH140" s="1"/>
  <c r="BH141" s="1"/>
  <c r="BH142" s="1"/>
  <c r="BH143" s="1"/>
  <c r="BH144" s="1"/>
  <c r="BH145" s="1"/>
  <c r="BH146" s="1"/>
  <c r="BH147" s="1"/>
  <c r="BH148" s="1"/>
  <c r="CG27" i="17"/>
  <c r="CG28" s="1"/>
  <c r="CG29" s="1"/>
  <c r="CG30" s="1"/>
  <c r="CG31" s="1"/>
  <c r="CG32" s="1"/>
  <c r="CG33" s="1"/>
  <c r="CG34" s="1"/>
  <c r="CG35" s="1"/>
  <c r="CG36" s="1"/>
  <c r="CG37" s="1"/>
  <c r="CG38" s="1"/>
  <c r="CG39" s="1"/>
  <c r="CG40" s="1"/>
  <c r="CG41" s="1"/>
  <c r="CG42" s="1"/>
  <c r="CG43" s="1"/>
  <c r="CG44" s="1"/>
  <c r="CG45" s="1"/>
  <c r="CG46" s="1"/>
  <c r="CG47" s="1"/>
  <c r="CG48" s="1"/>
  <c r="CG49" s="1"/>
  <c r="CG50" s="1"/>
  <c r="CG51" s="1"/>
  <c r="CG52" s="1"/>
  <c r="CG53" s="1"/>
  <c r="CG54" s="1"/>
  <c r="CG55" s="1"/>
  <c r="CG56" s="1"/>
  <c r="CG57" s="1"/>
  <c r="CG58" s="1"/>
  <c r="CG59" s="1"/>
  <c r="CG60" s="1"/>
  <c r="CG61" s="1"/>
  <c r="CG62" s="1"/>
  <c r="CG63" s="1"/>
  <c r="CG64" s="1"/>
  <c r="CG65" s="1"/>
  <c r="CG66" s="1"/>
  <c r="CG67" s="1"/>
  <c r="CG68" s="1"/>
  <c r="CG69" s="1"/>
  <c r="CG70" s="1"/>
  <c r="CG71" s="1"/>
  <c r="CG72" s="1"/>
  <c r="CG73" s="1"/>
  <c r="CG74" s="1"/>
  <c r="CG75" s="1"/>
  <c r="CG76" s="1"/>
  <c r="CG77" s="1"/>
  <c r="CG78" s="1"/>
  <c r="CG79" s="1"/>
  <c r="CG80" s="1"/>
  <c r="CG81" s="1"/>
  <c r="CG82" s="1"/>
  <c r="CG83" s="1"/>
  <c r="CG84" s="1"/>
  <c r="CG85" s="1"/>
  <c r="CF5" i="25"/>
  <c r="CF6" s="1"/>
  <c r="CF7" s="1"/>
  <c r="BW105" i="33"/>
  <c r="BW106" s="1"/>
  <c r="BW107" s="1"/>
  <c r="BW108" s="1"/>
  <c r="BW109" s="1"/>
  <c r="BW110" s="1"/>
  <c r="BW111" s="1"/>
  <c r="BW112" s="1"/>
  <c r="BW113" s="1"/>
  <c r="BW114" s="1"/>
  <c r="BW115" s="1"/>
  <c r="BW116" s="1"/>
  <c r="BW117" s="1"/>
  <c r="BW118" s="1"/>
  <c r="BW119" s="1"/>
  <c r="BW120" s="1"/>
  <c r="BW121" s="1"/>
  <c r="BW122" s="1"/>
  <c r="BW123" s="1"/>
  <c r="BW124" s="1"/>
  <c r="BW125" s="1"/>
  <c r="BW126" s="1"/>
  <c r="BW127" s="1"/>
  <c r="BW128" s="1"/>
  <c r="BW129" s="1"/>
  <c r="BW130" s="1"/>
  <c r="BW131" s="1"/>
  <c r="BW132" s="1"/>
  <c r="BW133" s="1"/>
  <c r="BW134" s="1"/>
  <c r="BW135" s="1"/>
  <c r="BW136" s="1"/>
  <c r="BW137" s="1"/>
  <c r="BW138" s="1"/>
  <c r="BW139" s="1"/>
  <c r="BW140" s="1"/>
  <c r="BW141" s="1"/>
  <c r="BW142" s="1"/>
  <c r="BW143" s="1"/>
  <c r="BW144" s="1"/>
  <c r="BW145" s="1"/>
  <c r="BW146" s="1"/>
  <c r="BW147" s="1"/>
  <c r="BR92" i="34"/>
  <c r="BR93" s="1"/>
  <c r="BR94" s="1"/>
  <c r="BR95" s="1"/>
  <c r="BR96" s="1"/>
  <c r="BR97" s="1"/>
  <c r="BR98" s="1"/>
  <c r="BR99" s="1"/>
  <c r="BR100" s="1"/>
  <c r="BR101" s="1"/>
  <c r="BR102" s="1"/>
  <c r="BR103" s="1"/>
  <c r="BR104" s="1"/>
  <c r="BR105" s="1"/>
  <c r="BR106" s="1"/>
  <c r="BR107" s="1"/>
  <c r="BR108" s="1"/>
  <c r="BR109" s="1"/>
  <c r="BR110" s="1"/>
  <c r="BR111" s="1"/>
  <c r="BR112" s="1"/>
  <c r="BR113" s="1"/>
  <c r="BR114" s="1"/>
  <c r="BR115" s="1"/>
  <c r="BR116" s="1"/>
  <c r="BR117" s="1"/>
  <c r="BR118" s="1"/>
  <c r="BR119" s="1"/>
  <c r="BR120" s="1"/>
  <c r="BR121" s="1"/>
  <c r="BR122" s="1"/>
  <c r="BR123" s="1"/>
  <c r="BR124" s="1"/>
  <c r="BR125" s="1"/>
  <c r="BR126" s="1"/>
  <c r="BR127" s="1"/>
  <c r="BR128" s="1"/>
  <c r="BR129" s="1"/>
  <c r="BR130" s="1"/>
  <c r="BR131" s="1"/>
  <c r="BR132" s="1"/>
  <c r="BR133" s="1"/>
  <c r="BR134" s="1"/>
  <c r="BR135" s="1"/>
  <c r="BR136" s="1"/>
  <c r="BR137" s="1"/>
  <c r="BR138" s="1"/>
  <c r="BR139" s="1"/>
  <c r="BR140" s="1"/>
  <c r="BR141" s="1"/>
  <c r="BR142" s="1"/>
  <c r="BR143" s="1"/>
  <c r="BR144" s="1"/>
  <c r="BR145" s="1"/>
  <c r="BR146" s="1"/>
  <c r="BR147" s="1"/>
  <c r="BR148" s="1"/>
  <c r="BR149" s="1"/>
  <c r="BR150" s="1"/>
  <c r="BR151" s="1"/>
  <c r="BR152" s="1"/>
  <c r="BR153" s="1"/>
  <c r="BU91" i="33"/>
  <c r="BU92" s="1"/>
  <c r="BU93" s="1"/>
  <c r="BU94" s="1"/>
  <c r="BU95" s="1"/>
  <c r="BU96" s="1"/>
  <c r="BU97" s="1"/>
  <c r="BU98" s="1"/>
  <c r="BU99" s="1"/>
  <c r="BU100" s="1"/>
  <c r="BU101" s="1"/>
  <c r="BU102" s="1"/>
  <c r="BU103" s="1"/>
  <c r="BU104" s="1"/>
  <c r="BU105" s="1"/>
  <c r="BU106" s="1"/>
  <c r="BU107" s="1"/>
  <c r="BU108" s="1"/>
  <c r="BU109" s="1"/>
  <c r="BU110" s="1"/>
  <c r="BU111" s="1"/>
  <c r="BU112" s="1"/>
  <c r="BU113" s="1"/>
  <c r="BU114" s="1"/>
  <c r="BU115" s="1"/>
  <c r="BU116" s="1"/>
  <c r="BU117" s="1"/>
  <c r="BU118" s="1"/>
  <c r="BU119" s="1"/>
  <c r="BU120" s="1"/>
  <c r="BU121" s="1"/>
  <c r="BU122" s="1"/>
  <c r="BU123" s="1"/>
  <c r="BU124" s="1"/>
  <c r="BU125" s="1"/>
  <c r="BU126" s="1"/>
  <c r="BU127" s="1"/>
  <c r="BU128" s="1"/>
  <c r="BU129" s="1"/>
  <c r="BU130" s="1"/>
  <c r="BU131" s="1"/>
  <c r="BU132" s="1"/>
  <c r="BU133" s="1"/>
  <c r="BU134" s="1"/>
  <c r="BU135" s="1"/>
  <c r="BU136" s="1"/>
  <c r="BU137" s="1"/>
  <c r="BU138" s="1"/>
  <c r="BU139" s="1"/>
  <c r="BU140" s="1"/>
  <c r="BU141" s="1"/>
  <c r="BU142" s="1"/>
  <c r="BU143" s="1"/>
  <c r="BU144" s="1"/>
  <c r="BU145" s="1"/>
  <c r="BU146" s="1"/>
  <c r="BU147" s="1"/>
  <c r="BU148" s="1"/>
  <c r="BU149" s="1"/>
  <c r="BU150" s="1"/>
  <c r="BU151" s="1"/>
  <c r="BU152" s="1"/>
  <c r="BL89" i="34"/>
  <c r="BL90" s="1"/>
  <c r="BL91" s="1"/>
  <c r="BL92" s="1"/>
  <c r="BL93" s="1"/>
  <c r="BL94" s="1"/>
  <c r="BL95" s="1"/>
  <c r="BL96" s="1"/>
  <c r="BL97" s="1"/>
  <c r="BL98" s="1"/>
  <c r="BL99" s="1"/>
  <c r="BL100" s="1"/>
  <c r="BL101" s="1"/>
  <c r="BL102" s="1"/>
  <c r="BL103" s="1"/>
  <c r="BL104" s="1"/>
  <c r="BL105" s="1"/>
  <c r="BL106" s="1"/>
  <c r="BL107" s="1"/>
  <c r="BL108" s="1"/>
  <c r="BL109" s="1"/>
  <c r="BL110" s="1"/>
  <c r="BL111" s="1"/>
  <c r="BL112" s="1"/>
  <c r="BL113" s="1"/>
  <c r="BL114" s="1"/>
  <c r="BL115" s="1"/>
  <c r="BL116" s="1"/>
  <c r="BL117" s="1"/>
  <c r="BL118" s="1"/>
  <c r="BL119" s="1"/>
  <c r="BL120" s="1"/>
  <c r="BL121" s="1"/>
  <c r="BL122" s="1"/>
  <c r="BL123" s="1"/>
  <c r="BL124" s="1"/>
  <c r="BL125" s="1"/>
  <c r="BL126" s="1"/>
  <c r="BL127" s="1"/>
  <c r="BL128" s="1"/>
  <c r="BL129" s="1"/>
  <c r="BL130" s="1"/>
  <c r="BL131" s="1"/>
  <c r="BL132" s="1"/>
  <c r="BL133" s="1"/>
  <c r="BL134" s="1"/>
  <c r="BL135" s="1"/>
  <c r="BL136" s="1"/>
  <c r="BL137" s="1"/>
  <c r="BL138" s="1"/>
  <c r="BL139" s="1"/>
  <c r="BL140" s="1"/>
  <c r="BL141" s="1"/>
  <c r="BL142" s="1"/>
  <c r="BL143" s="1"/>
  <c r="BL144" s="1"/>
  <c r="BL145" s="1"/>
  <c r="BL146" s="1"/>
  <c r="BL147" s="1"/>
  <c r="BL148" s="1"/>
  <c r="BL149" s="1"/>
  <c r="BL150" s="1"/>
  <c r="BL151" s="1"/>
  <c r="BL152" s="1"/>
  <c r="BL153" s="1"/>
  <c r="BT92"/>
  <c r="BT93" s="1"/>
  <c r="BT94" s="1"/>
  <c r="BT95" s="1"/>
  <c r="BT96" s="1"/>
  <c r="BT97" s="1"/>
  <c r="BT98" s="1"/>
  <c r="BT99" s="1"/>
  <c r="BT100" s="1"/>
  <c r="BT101" s="1"/>
  <c r="BT102" s="1"/>
  <c r="BT103" s="1"/>
  <c r="BT104" s="1"/>
  <c r="BT105" s="1"/>
  <c r="BT106" s="1"/>
  <c r="BT107" s="1"/>
  <c r="BT108" s="1"/>
  <c r="BT109" s="1"/>
  <c r="BT110" s="1"/>
  <c r="BT111" s="1"/>
  <c r="BT112" s="1"/>
  <c r="BT113" s="1"/>
  <c r="BT114" s="1"/>
  <c r="BT115" s="1"/>
  <c r="BT116" s="1"/>
  <c r="BT117" s="1"/>
  <c r="BT118" s="1"/>
  <c r="BT119" s="1"/>
  <c r="BT120" s="1"/>
  <c r="BT121" s="1"/>
  <c r="BT122" s="1"/>
  <c r="BT123" s="1"/>
  <c r="BT124" s="1"/>
  <c r="BT125" s="1"/>
  <c r="BT126" s="1"/>
  <c r="BT127" s="1"/>
  <c r="BT128" s="1"/>
  <c r="BT129" s="1"/>
  <c r="BT130" s="1"/>
  <c r="BT131" s="1"/>
  <c r="BT132" s="1"/>
  <c r="BT133" s="1"/>
  <c r="BT134" s="1"/>
  <c r="BT135" s="1"/>
  <c r="BT136" s="1"/>
  <c r="BT137" s="1"/>
  <c r="BT138" s="1"/>
  <c r="BT139" s="1"/>
  <c r="BT140" s="1"/>
  <c r="BT141" s="1"/>
  <c r="BT142" s="1"/>
  <c r="BT143" s="1"/>
  <c r="BT144" s="1"/>
  <c r="BT145" s="1"/>
  <c r="BT146" s="1"/>
  <c r="BT147" s="1"/>
  <c r="BT148" s="1"/>
  <c r="BT149" s="1"/>
  <c r="BT150" s="1"/>
  <c r="BT151" s="1"/>
  <c r="BT152" s="1"/>
  <c r="BT153" s="1"/>
  <c r="CN6" i="25"/>
  <c r="CN7" s="1"/>
  <c r="CN8" s="1"/>
  <c r="CN9" s="1"/>
  <c r="CN10" s="1"/>
  <c r="CN11" s="1"/>
  <c r="CD5"/>
  <c r="CD6" s="1"/>
  <c r="CD7" s="1"/>
  <c r="CD8" s="1"/>
  <c r="CD9" s="1"/>
  <c r="CD10" s="1"/>
  <c r="CD11" s="1"/>
  <c r="CD12" s="1"/>
  <c r="CD13" s="1"/>
  <c r="CL6"/>
  <c r="CL7" s="1"/>
  <c r="CL8" s="1"/>
  <c r="CL9" s="1"/>
  <c r="CL10" s="1"/>
  <c r="CL11" s="1"/>
  <c r="CL12" s="1"/>
  <c r="CL13" s="1"/>
  <c r="CL14" s="1"/>
  <c r="CL15" s="1"/>
  <c r="CL16" s="1"/>
  <c r="CL17" s="1"/>
  <c r="CL18" s="1"/>
  <c r="BG87" i="33"/>
  <c r="BG88" s="1"/>
  <c r="AN84" i="25"/>
  <c r="AO84" s="1"/>
  <c r="AE84"/>
  <c r="BV84" s="1"/>
  <c r="AC84"/>
  <c r="BT84" s="1"/>
  <c r="U84"/>
  <c r="BL84" s="1"/>
  <c r="AI83"/>
  <c r="BZ83" s="1"/>
  <c r="AE83"/>
  <c r="BV83" s="1"/>
  <c r="AC83"/>
  <c r="BT83" s="1"/>
  <c r="Y83"/>
  <c r="BP83" s="1"/>
  <c r="U71"/>
  <c r="BL71" s="1"/>
  <c r="T68"/>
  <c r="BK68" s="1"/>
  <c r="AN66"/>
  <c r="AO66" s="1"/>
  <c r="AH48"/>
  <c r="BY48" s="1"/>
  <c r="T48"/>
  <c r="BK48" s="1"/>
  <c r="AL45"/>
  <c r="AO45" s="1"/>
  <c r="AI44"/>
  <c r="BZ44" s="1"/>
  <c r="AG44"/>
  <c r="BX44" s="1"/>
  <c r="AE44"/>
  <c r="BV44" s="1"/>
  <c r="AC44"/>
  <c r="BT44" s="1"/>
  <c r="AA44"/>
  <c r="BR44" s="1"/>
  <c r="Y44"/>
  <c r="BP44" s="1"/>
  <c r="W44"/>
  <c r="BN44" s="1"/>
  <c r="U44"/>
  <c r="BL44" s="1"/>
  <c r="T35"/>
  <c r="BK35" s="1"/>
  <c r="AK32"/>
  <c r="AO32" s="1"/>
  <c r="AE32"/>
  <c r="BV32" s="1"/>
  <c r="AK28"/>
  <c r="AO28" s="1"/>
  <c r="AI28"/>
  <c r="BZ28" s="1"/>
  <c r="AE28"/>
  <c r="BV28" s="1"/>
  <c r="AC28"/>
  <c r="BT28" s="1"/>
  <c r="T23"/>
  <c r="BK23" s="1"/>
  <c r="AF19"/>
  <c r="BW19" s="1"/>
  <c r="AB19"/>
  <c r="BS19" s="1"/>
  <c r="X19"/>
  <c r="BO19" s="1"/>
  <c r="AL18"/>
  <c r="AO18" s="1"/>
  <c r="T15"/>
  <c r="BK15" s="1"/>
  <c r="AG8"/>
  <c r="BX8" s="1"/>
  <c r="Y8"/>
  <c r="BP8" s="1"/>
  <c r="AQ35" i="17"/>
  <c r="AQ31"/>
  <c r="AQ15"/>
  <c r="CI5"/>
  <c r="CI6" s="1"/>
  <c r="CI7" s="1"/>
  <c r="CI8" s="1"/>
  <c r="CI9" s="1"/>
  <c r="CI10" s="1"/>
  <c r="CI11" s="1"/>
  <c r="CI12" s="1"/>
  <c r="CI13" s="1"/>
  <c r="CI14" s="1"/>
  <c r="CI15" s="1"/>
  <c r="CI16" s="1"/>
  <c r="CI17" s="1"/>
  <c r="CI18" s="1"/>
  <c r="CI19" s="1"/>
  <c r="CI20" s="1"/>
  <c r="CI21" s="1"/>
  <c r="CI22" s="1"/>
  <c r="CI23" s="1"/>
  <c r="CI24" s="1"/>
  <c r="CI25" s="1"/>
  <c r="CI26" s="1"/>
  <c r="CI27" s="1"/>
  <c r="CI28" s="1"/>
  <c r="CI29" s="1"/>
  <c r="CI30" s="1"/>
  <c r="CI31" s="1"/>
  <c r="CI32" s="1"/>
  <c r="CI33" s="1"/>
  <c r="CI34" s="1"/>
  <c r="CI35" s="1"/>
  <c r="CI36" s="1"/>
  <c r="CI37" s="1"/>
  <c r="CI38" s="1"/>
  <c r="CI39" s="1"/>
  <c r="CI40" s="1"/>
  <c r="CI41" s="1"/>
  <c r="CI42" s="1"/>
  <c r="CI43" s="1"/>
  <c r="CI44" s="1"/>
  <c r="CI45" s="1"/>
  <c r="CI46" s="1"/>
  <c r="CI47" s="1"/>
  <c r="CI48" s="1"/>
  <c r="CI49" s="1"/>
  <c r="CI50" s="1"/>
  <c r="CI51" s="1"/>
  <c r="CI52" s="1"/>
  <c r="CI53" s="1"/>
  <c r="CI54" s="1"/>
  <c r="CI55" s="1"/>
  <c r="CI56" s="1"/>
  <c r="CI57" s="1"/>
  <c r="CI58" s="1"/>
  <c r="CI59" s="1"/>
  <c r="CI60" s="1"/>
  <c r="CI61" s="1"/>
  <c r="CI62" s="1"/>
  <c r="CI63" s="1"/>
  <c r="CI64" s="1"/>
  <c r="CI65" s="1"/>
  <c r="CI66" s="1"/>
  <c r="CI67" s="1"/>
  <c r="CI68" s="1"/>
  <c r="CI69" s="1"/>
  <c r="CI70" s="1"/>
  <c r="CI71" s="1"/>
  <c r="CI72" s="1"/>
  <c r="CI73" s="1"/>
  <c r="CI74" s="1"/>
  <c r="CI75" s="1"/>
  <c r="CI76" s="1"/>
  <c r="CI77" s="1"/>
  <c r="CI78" s="1"/>
  <c r="CI79" s="1"/>
  <c r="CI80" s="1"/>
  <c r="CI81" s="1"/>
  <c r="CI82" s="1"/>
  <c r="CI83" s="1"/>
  <c r="CI84" s="1"/>
  <c r="CI85" s="1"/>
  <c r="CK5"/>
  <c r="CK6" s="1"/>
  <c r="CK7" s="1"/>
  <c r="CK8" s="1"/>
  <c r="CK9" s="1"/>
  <c r="CK10" s="1"/>
  <c r="CK11" s="1"/>
  <c r="CK12" s="1"/>
  <c r="CK13" s="1"/>
  <c r="CK14" s="1"/>
  <c r="CK15" s="1"/>
  <c r="CK16" s="1"/>
  <c r="CK17" s="1"/>
  <c r="CK18" s="1"/>
  <c r="CK19" s="1"/>
  <c r="CK20" s="1"/>
  <c r="CK21" s="1"/>
  <c r="CK22" s="1"/>
  <c r="CK23" s="1"/>
  <c r="CK24" s="1"/>
  <c r="CK25" s="1"/>
  <c r="CK26" s="1"/>
  <c r="CK27" s="1"/>
  <c r="CK28" s="1"/>
  <c r="CK29" s="1"/>
  <c r="CK30" s="1"/>
  <c r="CK31" s="1"/>
  <c r="CK32" s="1"/>
  <c r="CK33" s="1"/>
  <c r="CK34" s="1"/>
  <c r="CK35" s="1"/>
  <c r="CK36" s="1"/>
  <c r="CK37" s="1"/>
  <c r="CK38" s="1"/>
  <c r="CK39" s="1"/>
  <c r="CK40" s="1"/>
  <c r="CK41" s="1"/>
  <c r="CK42" s="1"/>
  <c r="CK43" s="1"/>
  <c r="CK44" s="1"/>
  <c r="CK45" s="1"/>
  <c r="CK46" s="1"/>
  <c r="CK47" s="1"/>
  <c r="CK48" s="1"/>
  <c r="CK49" s="1"/>
  <c r="CK50" s="1"/>
  <c r="CK51" s="1"/>
  <c r="CK52" s="1"/>
  <c r="CK53" s="1"/>
  <c r="CK54" s="1"/>
  <c r="CK55" s="1"/>
  <c r="CK56" s="1"/>
  <c r="CK57" s="1"/>
  <c r="CK58" s="1"/>
  <c r="CK59" s="1"/>
  <c r="CK60" s="1"/>
  <c r="CK61" s="1"/>
  <c r="CK62" s="1"/>
  <c r="CK63" s="1"/>
  <c r="CK64" s="1"/>
  <c r="CK65" s="1"/>
  <c r="CK66" s="1"/>
  <c r="CK67" s="1"/>
  <c r="CK68" s="1"/>
  <c r="CK69" s="1"/>
  <c r="CK70" s="1"/>
  <c r="CK71" s="1"/>
  <c r="CK72" s="1"/>
  <c r="CK73" s="1"/>
  <c r="CK74" s="1"/>
  <c r="CK75" s="1"/>
  <c r="CK76" s="1"/>
  <c r="CK77" s="1"/>
  <c r="CK78" s="1"/>
  <c r="CK79" s="1"/>
  <c r="CK80" s="1"/>
  <c r="CK81" s="1"/>
  <c r="CK82" s="1"/>
  <c r="CK83" s="1"/>
  <c r="CK84" s="1"/>
  <c r="CK85" s="1"/>
  <c r="T198" i="34"/>
  <c r="T97" i="33"/>
  <c r="T89"/>
  <c r="Z52"/>
  <c r="Z44"/>
  <c r="Z36"/>
  <c r="Z28"/>
  <c r="Z20"/>
  <c r="B698" i="30"/>
  <c r="C693" s="1"/>
  <c r="C698" s="1"/>
  <c r="D693" s="1"/>
  <c r="D698" s="1"/>
  <c r="BI114" i="34"/>
  <c r="BI115" s="1"/>
  <c r="BI116" s="1"/>
  <c r="BI117" s="1"/>
  <c r="BI118" s="1"/>
  <c r="BI119" s="1"/>
  <c r="BI120" s="1"/>
  <c r="BI121" s="1"/>
  <c r="BI122" s="1"/>
  <c r="BI123" s="1"/>
  <c r="BI124" s="1"/>
  <c r="BI125" s="1"/>
  <c r="BI126" s="1"/>
  <c r="BI127" s="1"/>
  <c r="BI128" s="1"/>
  <c r="BI129" s="1"/>
  <c r="BI130" s="1"/>
  <c r="BI131" s="1"/>
  <c r="BI132" s="1"/>
  <c r="BI133" s="1"/>
  <c r="BI134" s="1"/>
  <c r="BI135" s="1"/>
  <c r="BI136" s="1"/>
  <c r="BI137" s="1"/>
  <c r="BI138" s="1"/>
  <c r="BI139" s="1"/>
  <c r="BI140" s="1"/>
  <c r="BI141" s="1"/>
  <c r="BI142" s="1"/>
  <c r="BI143" s="1"/>
  <c r="BI144" s="1"/>
  <c r="BI145" s="1"/>
  <c r="BI146" s="1"/>
  <c r="BI147" s="1"/>
  <c r="BI148" s="1"/>
  <c r="BI149" s="1"/>
  <c r="BI150" s="1"/>
  <c r="BI151" s="1"/>
  <c r="BI152" s="1"/>
  <c r="BI153" s="1"/>
  <c r="BV92"/>
  <c r="BV93" s="1"/>
  <c r="BV94" s="1"/>
  <c r="BV95" s="1"/>
  <c r="BV96" s="1"/>
  <c r="BV97" s="1"/>
  <c r="BV98" s="1"/>
  <c r="BV99" s="1"/>
  <c r="BV100" s="1"/>
  <c r="BV101" s="1"/>
  <c r="BV102" s="1"/>
  <c r="BV103" s="1"/>
  <c r="BV104" s="1"/>
  <c r="BV105" s="1"/>
  <c r="BV106" s="1"/>
  <c r="BV107" s="1"/>
  <c r="BV108" s="1"/>
  <c r="BV109" s="1"/>
  <c r="BV110" s="1"/>
  <c r="BV111" s="1"/>
  <c r="BV112" s="1"/>
  <c r="BV113" s="1"/>
  <c r="BV114" s="1"/>
  <c r="BV115" s="1"/>
  <c r="BV116" s="1"/>
  <c r="BV117" s="1"/>
  <c r="BV118" s="1"/>
  <c r="BV119" s="1"/>
  <c r="BV120" s="1"/>
  <c r="BV121" s="1"/>
  <c r="BV122" s="1"/>
  <c r="BV123" s="1"/>
  <c r="BV124" s="1"/>
  <c r="BV125" s="1"/>
  <c r="BV126" s="1"/>
  <c r="BV127" s="1"/>
  <c r="BV128" s="1"/>
  <c r="BV129" s="1"/>
  <c r="BV130" s="1"/>
  <c r="BV131" s="1"/>
  <c r="BV132" s="1"/>
  <c r="BV133" s="1"/>
  <c r="BV134" s="1"/>
  <c r="BV135" s="1"/>
  <c r="BV136" s="1"/>
  <c r="BV137" s="1"/>
  <c r="BV138" s="1"/>
  <c r="BV139" s="1"/>
  <c r="BV140" s="1"/>
  <c r="BV141" s="1"/>
  <c r="BV142" s="1"/>
  <c r="BV143" s="1"/>
  <c r="BV144" s="1"/>
  <c r="BV145" s="1"/>
  <c r="BV146" s="1"/>
  <c r="BV147" s="1"/>
  <c r="BV148" s="1"/>
  <c r="BP95"/>
  <c r="BP96" s="1"/>
  <c r="BP97" s="1"/>
  <c r="BP98" s="1"/>
  <c r="BP99" s="1"/>
  <c r="BP100" s="1"/>
  <c r="BP101" s="1"/>
  <c r="BP102" s="1"/>
  <c r="BP103" s="1"/>
  <c r="BP104" s="1"/>
  <c r="BP105" s="1"/>
  <c r="BP106" s="1"/>
  <c r="BP107" s="1"/>
  <c r="BP108" s="1"/>
  <c r="BP109" s="1"/>
  <c r="BP110" s="1"/>
  <c r="BP111" s="1"/>
  <c r="BP112" s="1"/>
  <c r="BP113" s="1"/>
  <c r="BP114" s="1"/>
  <c r="BP115" s="1"/>
  <c r="BP116" s="1"/>
  <c r="BP117" s="1"/>
  <c r="BP118" s="1"/>
  <c r="BP119" s="1"/>
  <c r="BP120" s="1"/>
  <c r="BP121" s="1"/>
  <c r="BP122" s="1"/>
  <c r="BP123" s="1"/>
  <c r="BP124" s="1"/>
  <c r="BP125" s="1"/>
  <c r="BP126" s="1"/>
  <c r="BP127" s="1"/>
  <c r="BP128" s="1"/>
  <c r="BP129" s="1"/>
  <c r="BP130" s="1"/>
  <c r="BP131" s="1"/>
  <c r="BP132" s="1"/>
  <c r="BP133" s="1"/>
  <c r="BP134" s="1"/>
  <c r="BP135" s="1"/>
  <c r="BP136" s="1"/>
  <c r="BP137" s="1"/>
  <c r="BP138" s="1"/>
  <c r="BP139" s="1"/>
  <c r="BP140" s="1"/>
  <c r="BP141" s="1"/>
  <c r="BP142" s="1"/>
  <c r="BP143" s="1"/>
  <c r="BP144" s="1"/>
  <c r="BP145" s="1"/>
  <c r="BP146" s="1"/>
  <c r="BP147" s="1"/>
  <c r="BP148" s="1"/>
  <c r="BP149" s="1"/>
  <c r="BP150" s="1"/>
  <c r="BP151" s="1"/>
  <c r="BP152" s="1"/>
  <c r="BP153" s="1"/>
  <c r="H50" i="32"/>
  <c r="BQ91" i="33"/>
  <c r="BQ92" s="1"/>
  <c r="BQ93" s="1"/>
  <c r="BQ94" s="1"/>
  <c r="BQ95" s="1"/>
  <c r="BQ96" s="1"/>
  <c r="BQ97" s="1"/>
  <c r="BQ98" s="1"/>
  <c r="BQ99" s="1"/>
  <c r="BQ100" s="1"/>
  <c r="BQ101" s="1"/>
  <c r="BQ102" s="1"/>
  <c r="BQ103" s="1"/>
  <c r="BQ104" s="1"/>
  <c r="BQ105" s="1"/>
  <c r="BQ106" s="1"/>
  <c r="BQ107" s="1"/>
  <c r="BQ108" s="1"/>
  <c r="BQ109" s="1"/>
  <c r="BQ110" s="1"/>
  <c r="BQ111" s="1"/>
  <c r="BQ112" s="1"/>
  <c r="BQ113" s="1"/>
  <c r="BQ114" s="1"/>
  <c r="BQ115" s="1"/>
  <c r="BQ116" s="1"/>
  <c r="BQ117" s="1"/>
  <c r="BQ118" s="1"/>
  <c r="BQ119" s="1"/>
  <c r="BQ120" s="1"/>
  <c r="BQ121" s="1"/>
  <c r="BQ122" s="1"/>
  <c r="BQ123" s="1"/>
  <c r="BQ124" s="1"/>
  <c r="BQ125" s="1"/>
  <c r="BQ126" s="1"/>
  <c r="BQ127" s="1"/>
  <c r="BQ128" s="1"/>
  <c r="BQ129" s="1"/>
  <c r="BQ130" s="1"/>
  <c r="BQ131" s="1"/>
  <c r="BQ132" s="1"/>
  <c r="BQ133" s="1"/>
  <c r="BQ134" s="1"/>
  <c r="BQ135" s="1"/>
  <c r="BQ136" s="1"/>
  <c r="BQ137" s="1"/>
  <c r="BQ138" s="1"/>
  <c r="BQ139" s="1"/>
  <c r="BQ140" s="1"/>
  <c r="BQ141" s="1"/>
  <c r="BQ142" s="1"/>
  <c r="BQ143" s="1"/>
  <c r="BQ144" s="1"/>
  <c r="BQ145" s="1"/>
  <c r="BQ146" s="1"/>
  <c r="BQ147" s="1"/>
  <c r="BQ148" s="1"/>
  <c r="BQ149" s="1"/>
  <c r="BQ150" s="1"/>
  <c r="BQ151" s="1"/>
  <c r="BQ152" s="1"/>
  <c r="CH6" i="25"/>
  <c r="CH7" s="1"/>
  <c r="CH8" s="1"/>
  <c r="CH9" s="1"/>
  <c r="CH10" s="1"/>
  <c r="CH11" s="1"/>
  <c r="CP6"/>
  <c r="CP7" s="1"/>
  <c r="CP8" s="1"/>
  <c r="CP9" s="1"/>
  <c r="CP10" s="1"/>
  <c r="AB86"/>
  <c r="AB84"/>
  <c r="BS84" s="1"/>
  <c r="V85"/>
  <c r="BM85" s="1"/>
  <c r="X83"/>
  <c r="BO83" s="1"/>
  <c r="AN83"/>
  <c r="AO83" s="1"/>
  <c r="AH82"/>
  <c r="BY82" s="1"/>
  <c r="AF82"/>
  <c r="BW82" s="1"/>
  <c r="AD82"/>
  <c r="BU82" s="1"/>
  <c r="AB82"/>
  <c r="BS82" s="1"/>
  <c r="X82"/>
  <c r="BO82" s="1"/>
  <c r="V82"/>
  <c r="BM82" s="1"/>
  <c r="T82"/>
  <c r="BK82" s="1"/>
  <c r="AH81"/>
  <c r="BY81" s="1"/>
  <c r="AD80"/>
  <c r="BU80" s="1"/>
  <c r="Z81"/>
  <c r="BQ81" s="1"/>
  <c r="AC79"/>
  <c r="BT79" s="1"/>
  <c r="AB79"/>
  <c r="BS79" s="1"/>
  <c r="AN78"/>
  <c r="AO78" s="1"/>
  <c r="AF78"/>
  <c r="BW78" s="1"/>
  <c r="AB78"/>
  <c r="BS78" s="1"/>
  <c r="Z78"/>
  <c r="BQ78" s="1"/>
  <c r="X78"/>
  <c r="BO78" s="1"/>
  <c r="AN76"/>
  <c r="AO76" s="1"/>
  <c r="AD72"/>
  <c r="BU72" s="1"/>
  <c r="AC73"/>
  <c r="U73"/>
  <c r="E531" i="30" s="1"/>
  <c r="AC71" i="25"/>
  <c r="BT71" s="1"/>
  <c r="Z69"/>
  <c r="BQ69" s="1"/>
  <c r="AG69"/>
  <c r="BX69" s="1"/>
  <c r="AC69"/>
  <c r="BT69" s="1"/>
  <c r="Y69"/>
  <c r="BP69" s="1"/>
  <c r="U69"/>
  <c r="BL69" s="1"/>
  <c r="AI65"/>
  <c r="BZ65" s="1"/>
  <c r="AG65"/>
  <c r="BX65" s="1"/>
  <c r="AE65"/>
  <c r="BV65" s="1"/>
  <c r="Z64"/>
  <c r="BQ64" s="1"/>
  <c r="T57"/>
  <c r="BK57" s="1"/>
  <c r="AI53"/>
  <c r="BZ53" s="1"/>
  <c r="AF53"/>
  <c r="BW53" s="1"/>
  <c r="T53"/>
  <c r="BK53" s="1"/>
  <c r="AG49"/>
  <c r="BX49" s="1"/>
  <c r="AB50"/>
  <c r="BS50" s="1"/>
  <c r="U46"/>
  <c r="BL46" s="1"/>
  <c r="AH47"/>
  <c r="BY47" s="1"/>
  <c r="AB47"/>
  <c r="BS47" s="1"/>
  <c r="Z47"/>
  <c r="BQ47" s="1"/>
  <c r="AD42"/>
  <c r="BU42" s="1"/>
  <c r="AB42"/>
  <c r="BS42" s="1"/>
  <c r="T42"/>
  <c r="BK42" s="1"/>
  <c r="Z38"/>
  <c r="BQ38" s="1"/>
  <c r="AE37"/>
  <c r="BV37" s="1"/>
  <c r="AA37"/>
  <c r="BR37" s="1"/>
  <c r="AK34"/>
  <c r="AO34" s="1"/>
  <c r="Z34"/>
  <c r="BQ34" s="1"/>
  <c r="U33"/>
  <c r="BL33" s="1"/>
  <c r="AE31"/>
  <c r="BV31" s="1"/>
  <c r="W32"/>
  <c r="BN32" s="1"/>
  <c r="AB30"/>
  <c r="BS30" s="1"/>
  <c r="V30"/>
  <c r="BM30" s="1"/>
  <c r="AA28"/>
  <c r="BR28" s="1"/>
  <c r="Y28"/>
  <c r="BP28" s="1"/>
  <c r="AI27"/>
  <c r="BZ27" s="1"/>
  <c r="AC25"/>
  <c r="BT25" s="1"/>
  <c r="T25"/>
  <c r="BK25" s="1"/>
  <c r="AI25"/>
  <c r="BZ25" s="1"/>
  <c r="AE25"/>
  <c r="BV25" s="1"/>
  <c r="U24"/>
  <c r="BL24" s="1"/>
  <c r="AI22"/>
  <c r="BZ22" s="1"/>
  <c r="AG22"/>
  <c r="BX22" s="1"/>
  <c r="AE22"/>
  <c r="BV22" s="1"/>
  <c r="AC22"/>
  <c r="BT22" s="1"/>
  <c r="AA22"/>
  <c r="BR22" s="1"/>
  <c r="Y22"/>
  <c r="BP22" s="1"/>
  <c r="W22"/>
  <c r="BN22" s="1"/>
  <c r="AH22"/>
  <c r="BY22" s="1"/>
  <c r="AD22"/>
  <c r="BU22" s="1"/>
  <c r="AB22"/>
  <c r="BS22" s="1"/>
  <c r="Z22"/>
  <c r="BQ22" s="1"/>
  <c r="T22"/>
  <c r="BK22" s="1"/>
  <c r="AB21"/>
  <c r="BS21" s="1"/>
  <c r="V21"/>
  <c r="BM21" s="1"/>
  <c r="AE19"/>
  <c r="BV19" s="1"/>
  <c r="W19"/>
  <c r="BN19" s="1"/>
  <c r="AH19"/>
  <c r="BY19" s="1"/>
  <c r="AD19"/>
  <c r="BU19" s="1"/>
  <c r="V19"/>
  <c r="BM19" s="1"/>
  <c r="AI17"/>
  <c r="BZ17" s="1"/>
  <c r="AE17"/>
  <c r="BV17" s="1"/>
  <c r="U16"/>
  <c r="BL16" s="1"/>
  <c r="AL14"/>
  <c r="AO14" s="1"/>
  <c r="AF13"/>
  <c r="BW13" s="1"/>
  <c r="AA12"/>
  <c r="BR12" s="1"/>
  <c r="T13"/>
  <c r="BK13" s="1"/>
  <c r="AH12"/>
  <c r="BY12" s="1"/>
  <c r="AB12"/>
  <c r="BS12" s="1"/>
  <c r="Z12"/>
  <c r="BQ12" s="1"/>
  <c r="AC10"/>
  <c r="BT10" s="1"/>
  <c r="AI9"/>
  <c r="BZ9" s="1"/>
  <c r="AE9"/>
  <c r="BV9" s="1"/>
  <c r="AA9"/>
  <c r="BR9" s="1"/>
  <c r="W9"/>
  <c r="BN9" s="1"/>
  <c r="CE9" s="1"/>
  <c r="CE10" s="1"/>
  <c r="CE11" s="1"/>
  <c r="CE12" s="1"/>
  <c r="CE13" s="1"/>
  <c r="U9"/>
  <c r="BL9" s="1"/>
  <c r="AI8"/>
  <c r="BZ8" s="1"/>
  <c r="AE8"/>
  <c r="BV8" s="1"/>
  <c r="AC8"/>
  <c r="BT8" s="1"/>
  <c r="AA8"/>
  <c r="BR8" s="1"/>
  <c r="AC6"/>
  <c r="BT6" s="1"/>
  <c r="CK6" s="1"/>
  <c r="CK7" s="1"/>
  <c r="CK8" s="1"/>
  <c r="CK9" s="1"/>
  <c r="CK10" s="1"/>
  <c r="CK11" s="1"/>
  <c r="CK12" s="1"/>
  <c r="CK13" s="1"/>
  <c r="AA6"/>
  <c r="BR6" s="1"/>
  <c r="CI6" s="1"/>
  <c r="CI7" s="1"/>
  <c r="CI8" s="1"/>
  <c r="CI9" s="1"/>
  <c r="CI10" s="1"/>
  <c r="CI11" s="1"/>
  <c r="CI12" s="1"/>
  <c r="CI13" s="1"/>
  <c r="AB5"/>
  <c r="BS5" s="1"/>
  <c r="CJ5" s="1"/>
  <c r="CJ6" s="1"/>
  <c r="CJ7" s="1"/>
  <c r="CJ8" s="1"/>
  <c r="CJ9" s="1"/>
  <c r="CJ10" s="1"/>
  <c r="CJ11" s="1"/>
  <c r="CJ12" s="1"/>
  <c r="CJ13" s="1"/>
  <c r="AE5"/>
  <c r="BV5" s="1"/>
  <c r="CM5" s="1"/>
  <c r="CM6" s="1"/>
  <c r="CM7" s="1"/>
  <c r="CM8" s="1"/>
  <c r="AQ77" i="17"/>
  <c r="CA73"/>
  <c r="AQ23"/>
  <c r="AQ17"/>
  <c r="DK8"/>
  <c r="DE8"/>
  <c r="CZ8"/>
  <c r="CX8"/>
  <c r="DF7"/>
  <c r="CX7"/>
  <c r="DF6"/>
  <c r="CX6"/>
  <c r="DH5"/>
  <c r="DF5"/>
  <c r="CX5"/>
  <c r="CE5"/>
  <c r="CQ5"/>
  <c r="CQ6" s="1"/>
  <c r="CQ7" s="1"/>
  <c r="CQ8" s="1"/>
  <c r="CQ9" s="1"/>
  <c r="CQ10" s="1"/>
  <c r="CQ11" s="1"/>
  <c r="CQ12" s="1"/>
  <c r="CQ13" s="1"/>
  <c r="CQ14" s="1"/>
  <c r="CQ15" s="1"/>
  <c r="CQ16" s="1"/>
  <c r="CQ17" s="1"/>
  <c r="CQ18" s="1"/>
  <c r="CQ19" s="1"/>
  <c r="CQ20" s="1"/>
  <c r="CQ21" s="1"/>
  <c r="CQ22" s="1"/>
  <c r="CQ23" s="1"/>
  <c r="CQ24" s="1"/>
  <c r="CQ25" s="1"/>
  <c r="CQ26" s="1"/>
  <c r="CQ27" s="1"/>
  <c r="CQ28" s="1"/>
  <c r="CQ29" s="1"/>
  <c r="CQ30" s="1"/>
  <c r="CQ31" s="1"/>
  <c r="CQ32" s="1"/>
  <c r="CQ33" s="1"/>
  <c r="CQ34" s="1"/>
  <c r="CQ35" s="1"/>
  <c r="CQ36" s="1"/>
  <c r="CQ37" s="1"/>
  <c r="CQ38" s="1"/>
  <c r="CQ39" s="1"/>
  <c r="CQ40" s="1"/>
  <c r="CQ41" s="1"/>
  <c r="CQ42" s="1"/>
  <c r="CQ43" s="1"/>
  <c r="CQ44" s="1"/>
  <c r="CQ45" s="1"/>
  <c r="CQ46" s="1"/>
  <c r="CQ47" s="1"/>
  <c r="CQ48" s="1"/>
  <c r="CQ49" s="1"/>
  <c r="CQ50" s="1"/>
  <c r="CQ51" s="1"/>
  <c r="CQ52" s="1"/>
  <c r="CQ53" s="1"/>
  <c r="CQ54" s="1"/>
  <c r="CQ55" s="1"/>
  <c r="CQ56" s="1"/>
  <c r="CQ57" s="1"/>
  <c r="CQ58" s="1"/>
  <c r="CQ59" s="1"/>
  <c r="CQ60" s="1"/>
  <c r="CQ61" s="1"/>
  <c r="CQ62" s="1"/>
  <c r="CQ63" s="1"/>
  <c r="CQ64" s="1"/>
  <c r="CQ65" s="1"/>
  <c r="CQ66" s="1"/>
  <c r="CQ67" s="1"/>
  <c r="CQ68" s="1"/>
  <c r="CQ69" s="1"/>
  <c r="CQ70" s="1"/>
  <c r="CQ71" s="1"/>
  <c r="CQ72" s="1"/>
  <c r="CQ73" s="1"/>
  <c r="CQ74" s="1"/>
  <c r="CQ75" s="1"/>
  <c r="CQ76" s="1"/>
  <c r="CQ77" s="1"/>
  <c r="CQ78" s="1"/>
  <c r="CQ79" s="1"/>
  <c r="CQ80" s="1"/>
  <c r="CQ81" s="1"/>
  <c r="CQ82" s="1"/>
  <c r="CQ83" s="1"/>
  <c r="CQ84" s="1"/>
  <c r="CQ85" s="1"/>
  <c r="CR5"/>
  <c r="CR6" s="1"/>
  <c r="CR7" s="1"/>
  <c r="CR8" s="1"/>
  <c r="CR9" s="1"/>
  <c r="CR10" s="1"/>
  <c r="CR11" s="1"/>
  <c r="CR12" s="1"/>
  <c r="CR13" s="1"/>
  <c r="CR14" s="1"/>
  <c r="CR15" s="1"/>
  <c r="CR16" s="1"/>
  <c r="CR17" s="1"/>
  <c r="CR18" s="1"/>
  <c r="CR19" s="1"/>
  <c r="CR20" s="1"/>
  <c r="CR21" s="1"/>
  <c r="CR22" s="1"/>
  <c r="CR23" s="1"/>
  <c r="CR24" s="1"/>
  <c r="CR25" s="1"/>
  <c r="CR26" s="1"/>
  <c r="CR27" s="1"/>
  <c r="CR28" s="1"/>
  <c r="CR29" s="1"/>
  <c r="CR30" s="1"/>
  <c r="CR31" s="1"/>
  <c r="CR32" s="1"/>
  <c r="CR33" s="1"/>
  <c r="CR34" s="1"/>
  <c r="CR35" s="1"/>
  <c r="CR36" s="1"/>
  <c r="CR37" s="1"/>
  <c r="CR38" s="1"/>
  <c r="CR39" s="1"/>
  <c r="CR40" s="1"/>
  <c r="CR41" s="1"/>
  <c r="CR42" s="1"/>
  <c r="CR43" s="1"/>
  <c r="CR44" s="1"/>
  <c r="CR45" s="1"/>
  <c r="CR46" s="1"/>
  <c r="CR47" s="1"/>
  <c r="CR48" s="1"/>
  <c r="CR49" s="1"/>
  <c r="CR50" s="1"/>
  <c r="CR51" s="1"/>
  <c r="CR52" s="1"/>
  <c r="CR53" s="1"/>
  <c r="CR54" s="1"/>
  <c r="CR55" s="1"/>
  <c r="CR56" s="1"/>
  <c r="CR57" s="1"/>
  <c r="CR58" s="1"/>
  <c r="CR59" s="1"/>
  <c r="CR60" s="1"/>
  <c r="CR61" s="1"/>
  <c r="CR62" s="1"/>
  <c r="CR63" s="1"/>
  <c r="CR64" s="1"/>
  <c r="CR65" s="1"/>
  <c r="CR66" s="1"/>
  <c r="CR67" s="1"/>
  <c r="CR68" s="1"/>
  <c r="CR69" s="1"/>
  <c r="CR70" s="1"/>
  <c r="CR71" s="1"/>
  <c r="CR72" s="1"/>
  <c r="CR73" s="1"/>
  <c r="CR74" s="1"/>
  <c r="CR75" s="1"/>
  <c r="CR76" s="1"/>
  <c r="CR77" s="1"/>
  <c r="CR78" s="1"/>
  <c r="CR79" s="1"/>
  <c r="CR80" s="1"/>
  <c r="CR81" s="1"/>
  <c r="CR82" s="1"/>
  <c r="CR83" s="1"/>
  <c r="CR84" s="1"/>
  <c r="CR85" s="1"/>
  <c r="CN5"/>
  <c r="CN6" s="1"/>
  <c r="CN7" s="1"/>
  <c r="CN8" s="1"/>
  <c r="CN9" s="1"/>
  <c r="CN10" s="1"/>
  <c r="CN11" s="1"/>
  <c r="CN12" s="1"/>
  <c r="CN13" s="1"/>
  <c r="CN14" s="1"/>
  <c r="CN15" s="1"/>
  <c r="CN16" s="1"/>
  <c r="CN17" s="1"/>
  <c r="CN18" s="1"/>
  <c r="CN19" s="1"/>
  <c r="CN20" s="1"/>
  <c r="CN21" s="1"/>
  <c r="CN22" s="1"/>
  <c r="CN23" s="1"/>
  <c r="CN24" s="1"/>
  <c r="CN25" s="1"/>
  <c r="CN26" s="1"/>
  <c r="CN27" s="1"/>
  <c r="CN28" s="1"/>
  <c r="CN29" s="1"/>
  <c r="CN30" s="1"/>
  <c r="CN31" s="1"/>
  <c r="CN32" s="1"/>
  <c r="CN33" s="1"/>
  <c r="CN34" s="1"/>
  <c r="CN35" s="1"/>
  <c r="CN36" s="1"/>
  <c r="CN37" s="1"/>
  <c r="CN38" s="1"/>
  <c r="CN39" s="1"/>
  <c r="CN40" s="1"/>
  <c r="CN41" s="1"/>
  <c r="CN42" s="1"/>
  <c r="CN43" s="1"/>
  <c r="CN44" s="1"/>
  <c r="CN45" s="1"/>
  <c r="CN46" s="1"/>
  <c r="CN47" s="1"/>
  <c r="CN48" s="1"/>
  <c r="CN49" s="1"/>
  <c r="CN50" s="1"/>
  <c r="CN51" s="1"/>
  <c r="CN52" s="1"/>
  <c r="CN53" s="1"/>
  <c r="CN54" s="1"/>
  <c r="CN55" s="1"/>
  <c r="CN56" s="1"/>
  <c r="CN57" s="1"/>
  <c r="CN58" s="1"/>
  <c r="CN59" s="1"/>
  <c r="CN60" s="1"/>
  <c r="CN61" s="1"/>
  <c r="CN62" s="1"/>
  <c r="CN63" s="1"/>
  <c r="CN64" s="1"/>
  <c r="CN65" s="1"/>
  <c r="CN66" s="1"/>
  <c r="CN67" s="1"/>
  <c r="CN68" s="1"/>
  <c r="CN69" s="1"/>
  <c r="CN70" s="1"/>
  <c r="CN71" s="1"/>
  <c r="CN72" s="1"/>
  <c r="CN73" s="1"/>
  <c r="CN74" s="1"/>
  <c r="CN75" s="1"/>
  <c r="CN76" s="1"/>
  <c r="CN77" s="1"/>
  <c r="CN78" s="1"/>
  <c r="CN79" s="1"/>
  <c r="CN80" s="1"/>
  <c r="CN81" s="1"/>
  <c r="CN82" s="1"/>
  <c r="CN83" s="1"/>
  <c r="CN84" s="1"/>
  <c r="CN85" s="1"/>
  <c r="CJ5"/>
  <c r="CJ6" s="1"/>
  <c r="CF5"/>
  <c r="CF6" s="1"/>
  <c r="CF7" s="1"/>
  <c r="CF8" s="1"/>
  <c r="CF9" s="1"/>
  <c r="CF10" s="1"/>
  <c r="CF11" s="1"/>
  <c r="CF12" s="1"/>
  <c r="CF13" s="1"/>
  <c r="CF14" s="1"/>
  <c r="CF15" s="1"/>
  <c r="D192" i="34"/>
  <c r="T192" s="1"/>
  <c r="D191"/>
  <c r="T191" s="1"/>
  <c r="D190"/>
  <c r="T190" s="1"/>
  <c r="K189"/>
  <c r="E189"/>
  <c r="K188"/>
  <c r="D188"/>
  <c r="K187"/>
  <c r="E187"/>
  <c r="K186"/>
  <c r="E186"/>
  <c r="D185"/>
  <c r="T185" s="1"/>
  <c r="E184"/>
  <c r="T184" s="1"/>
  <c r="D182"/>
  <c r="T182" s="1"/>
  <c r="D181"/>
  <c r="T181" s="1"/>
  <c r="E180"/>
  <c r="T180" s="1"/>
  <c r="D178"/>
  <c r="T178" s="1"/>
  <c r="D177"/>
  <c r="T177" s="1"/>
  <c r="E176"/>
  <c r="T176" s="1"/>
  <c r="D174"/>
  <c r="T174" s="1"/>
  <c r="D173"/>
  <c r="T173" s="1"/>
  <c r="E172"/>
  <c r="T172" s="1"/>
  <c r="BE149"/>
  <c r="BD149"/>
  <c r="BC149"/>
  <c r="AY149"/>
  <c r="AP149"/>
  <c r="T128"/>
  <c r="S187" i="33"/>
  <c r="Q187"/>
  <c r="O187"/>
  <c r="M187"/>
  <c r="K187"/>
  <c r="I187"/>
  <c r="G187"/>
  <c r="Q186"/>
  <c r="M186"/>
  <c r="I186"/>
  <c r="S185"/>
  <c r="Q185"/>
  <c r="O185"/>
  <c r="M185"/>
  <c r="K185"/>
  <c r="I185"/>
  <c r="G185"/>
  <c r="Q184"/>
  <c r="M184"/>
  <c r="I184"/>
  <c r="S183"/>
  <c r="Q183"/>
  <c r="O183"/>
  <c r="M183"/>
  <c r="K183"/>
  <c r="I183"/>
  <c r="G183"/>
  <c r="Q182"/>
  <c r="M182"/>
  <c r="I182"/>
  <c r="S181"/>
  <c r="Q181"/>
  <c r="O181"/>
  <c r="M181"/>
  <c r="K181"/>
  <c r="I181"/>
  <c r="G181"/>
  <c r="Q180"/>
  <c r="M180"/>
  <c r="I180"/>
  <c r="R179"/>
  <c r="P179"/>
  <c r="N179"/>
  <c r="L179"/>
  <c r="J179"/>
  <c r="H179"/>
  <c r="F179"/>
  <c r="S178"/>
  <c r="O178"/>
  <c r="K178"/>
  <c r="G178"/>
  <c r="S177"/>
  <c r="Q177"/>
  <c r="O177"/>
  <c r="M177"/>
  <c r="K177"/>
  <c r="I177"/>
  <c r="G177"/>
  <c r="M176"/>
  <c r="G176"/>
  <c r="S175"/>
  <c r="Q175"/>
  <c r="O175"/>
  <c r="M175"/>
  <c r="K175"/>
  <c r="I175"/>
  <c r="G175"/>
  <c r="M174"/>
  <c r="T174" s="1"/>
  <c r="S173"/>
  <c r="Q173"/>
  <c r="O173"/>
  <c r="M173"/>
  <c r="S172"/>
  <c r="J172"/>
  <c r="AQ91"/>
  <c r="BI91" s="1"/>
  <c r="BI92" s="1"/>
  <c r="BI93" s="1"/>
  <c r="BI94" s="1"/>
  <c r="BI95" s="1"/>
  <c r="BI96" s="1"/>
  <c r="BI97" s="1"/>
  <c r="BI98" s="1"/>
  <c r="BI99" s="1"/>
  <c r="BI100" s="1"/>
  <c r="BI101" s="1"/>
  <c r="BI102" s="1"/>
  <c r="BI103" s="1"/>
  <c r="BI104" s="1"/>
  <c r="BI105" s="1"/>
  <c r="BI106" s="1"/>
  <c r="BI107" s="1"/>
  <c r="BI108" s="1"/>
  <c r="BI109" s="1"/>
  <c r="BI110" s="1"/>
  <c r="BI111" s="1"/>
  <c r="BI112" s="1"/>
  <c r="BI113" s="1"/>
  <c r="BI114" s="1"/>
  <c r="BI115" s="1"/>
  <c r="BI116" s="1"/>
  <c r="BI117" s="1"/>
  <c r="BI118" s="1"/>
  <c r="BI119" s="1"/>
  <c r="BI120" s="1"/>
  <c r="BI121" s="1"/>
  <c r="BI122" s="1"/>
  <c r="BI123" s="1"/>
  <c r="BI124" s="1"/>
  <c r="BI125" s="1"/>
  <c r="BI126" s="1"/>
  <c r="BI127" s="1"/>
  <c r="BI128" s="1"/>
  <c r="BI129" s="1"/>
  <c r="BI130" s="1"/>
  <c r="BI131" s="1"/>
  <c r="BI132" s="1"/>
  <c r="BI133" s="1"/>
  <c r="BI134" s="1"/>
  <c r="BI135" s="1"/>
  <c r="BI136" s="1"/>
  <c r="BI137" s="1"/>
  <c r="BI138" s="1"/>
  <c r="BI139" s="1"/>
  <c r="BI140" s="1"/>
  <c r="BI141" s="1"/>
  <c r="BI142" s="1"/>
  <c r="BI143" s="1"/>
  <c r="BI144" s="1"/>
  <c r="BI145" s="1"/>
  <c r="BI146" s="1"/>
  <c r="BI147" s="1"/>
  <c r="BI148" s="1"/>
  <c r="BI149" s="1"/>
  <c r="BI150" s="1"/>
  <c r="BI151" s="1"/>
  <c r="BI152" s="1"/>
  <c r="T91"/>
  <c r="BJ87"/>
  <c r="BJ88" s="1"/>
  <c r="BJ89" s="1"/>
  <c r="BJ90" s="1"/>
  <c r="BJ91" s="1"/>
  <c r="BJ92" s="1"/>
  <c r="BJ93" s="1"/>
  <c r="BJ94" s="1"/>
  <c r="BJ95" s="1"/>
  <c r="BJ96" s="1"/>
  <c r="BJ97" s="1"/>
  <c r="BJ98" s="1"/>
  <c r="BJ99" s="1"/>
  <c r="BJ100" s="1"/>
  <c r="BJ101" s="1"/>
  <c r="BJ102" s="1"/>
  <c r="BJ103" s="1"/>
  <c r="BJ104" s="1"/>
  <c r="BJ105" s="1"/>
  <c r="BJ106" s="1"/>
  <c r="BJ107" s="1"/>
  <c r="BJ108" s="1"/>
  <c r="BJ109" s="1"/>
  <c r="BJ110" s="1"/>
  <c r="BJ111" s="1"/>
  <c r="BJ112" s="1"/>
  <c r="BJ113" s="1"/>
  <c r="BJ114" s="1"/>
  <c r="BJ115" s="1"/>
  <c r="BJ116" s="1"/>
  <c r="BJ117" s="1"/>
  <c r="BJ118" s="1"/>
  <c r="BJ119" s="1"/>
  <c r="BJ120" s="1"/>
  <c r="BJ121" s="1"/>
  <c r="BJ122" s="1"/>
  <c r="BJ123" s="1"/>
  <c r="BJ124" s="1"/>
  <c r="BJ125" s="1"/>
  <c r="BJ126" s="1"/>
  <c r="BJ127" s="1"/>
  <c r="BJ128" s="1"/>
  <c r="BJ129" s="1"/>
  <c r="BJ130" s="1"/>
  <c r="BJ131" s="1"/>
  <c r="BJ132" s="1"/>
  <c r="BJ133" s="1"/>
  <c r="BJ134" s="1"/>
  <c r="BJ135" s="1"/>
  <c r="BJ136" s="1"/>
  <c r="BJ137" s="1"/>
  <c r="BJ138" s="1"/>
  <c r="BJ139" s="1"/>
  <c r="BJ140" s="1"/>
  <c r="BJ141" s="1"/>
  <c r="BJ142" s="1"/>
  <c r="BJ143" s="1"/>
  <c r="BJ144" s="1"/>
  <c r="BJ145" s="1"/>
  <c r="BJ146" s="1"/>
  <c r="BJ147" s="1"/>
  <c r="BJ148" s="1"/>
  <c r="BJ149" s="1"/>
  <c r="BJ150" s="1"/>
  <c r="BJ151" s="1"/>
  <c r="BJ152" s="1"/>
  <c r="Z56"/>
  <c r="Z48"/>
  <c r="Z40"/>
  <c r="Z32"/>
  <c r="Z24"/>
  <c r="Z16"/>
  <c r="G64" i="35"/>
  <c r="G595" i="30"/>
  <c r="D586"/>
  <c r="E539"/>
  <c r="F567"/>
  <c r="L567"/>
  <c r="K585"/>
  <c r="F650"/>
  <c r="F652" s="1"/>
  <c r="F653" s="1"/>
  <c r="K51" i="32"/>
  <c r="G650" i="30"/>
  <c r="G652" s="1"/>
  <c r="F539"/>
  <c r="CB11" i="25"/>
  <c r="B663" i="30"/>
  <c r="B664"/>
  <c r="K29" i="32"/>
  <c r="H531" i="30"/>
  <c r="B665"/>
  <c r="CP11" i="25"/>
  <c r="AI36"/>
  <c r="BZ36" s="1"/>
  <c r="AI35"/>
  <c r="BZ35" s="1"/>
  <c r="AA35"/>
  <c r="BR35" s="1"/>
  <c r="AA36"/>
  <c r="BR36" s="1"/>
  <c r="D618" i="30"/>
  <c r="U85" i="25"/>
  <c r="BL85" s="1"/>
  <c r="AG68"/>
  <c r="BX68" s="1"/>
  <c r="AD39"/>
  <c r="BU39" s="1"/>
  <c r="AK37"/>
  <c r="AO37" s="1"/>
  <c r="AI37"/>
  <c r="BZ37" s="1"/>
  <c r="U37"/>
  <c r="BL37" s="1"/>
  <c r="CG5"/>
  <c r="CC5"/>
  <c r="CL7" i="17"/>
  <c r="AG35" i="25"/>
  <c r="BX35" s="1"/>
  <c r="AG36"/>
  <c r="BX36" s="1"/>
  <c r="AC36"/>
  <c r="BT36" s="1"/>
  <c r="AC35"/>
  <c r="BT35" s="1"/>
  <c r="AH85"/>
  <c r="BY85" s="1"/>
  <c r="Z85"/>
  <c r="BQ85" s="1"/>
  <c r="W84"/>
  <c r="BN84" s="1"/>
  <c r="AC82"/>
  <c r="BT82" s="1"/>
  <c r="AC80"/>
  <c r="BT80" s="1"/>
  <c r="U80"/>
  <c r="BL80" s="1"/>
  <c r="W67"/>
  <c r="BN67" s="1"/>
  <c r="AC66"/>
  <c r="BT66" s="1"/>
  <c r="U66"/>
  <c r="BL66" s="1"/>
  <c r="AH62"/>
  <c r="BY62" s="1"/>
  <c r="AL48"/>
  <c r="AO48" s="1"/>
  <c r="AB46"/>
  <c r="BS46" s="1"/>
  <c r="AD38"/>
  <c r="BU38" s="1"/>
  <c r="AG37"/>
  <c r="BX37" s="1"/>
  <c r="AC37"/>
  <c r="BT37" s="1"/>
  <c r="Y37"/>
  <c r="BP37" s="1"/>
  <c r="W37"/>
  <c r="BN37" s="1"/>
  <c r="CP7" i="17"/>
  <c r="CP8" s="1"/>
  <c r="CP9" s="1"/>
  <c r="CP10" s="1"/>
  <c r="CP11" s="1"/>
  <c r="CP12" s="1"/>
  <c r="CP13" s="1"/>
  <c r="CP14" s="1"/>
  <c r="CP15" s="1"/>
  <c r="CP16" s="1"/>
  <c r="CP17" s="1"/>
  <c r="CP18" s="1"/>
  <c r="CP19" s="1"/>
  <c r="CP20" s="1"/>
  <c r="CP21" s="1"/>
  <c r="CP22" s="1"/>
  <c r="CP23" s="1"/>
  <c r="CP24" s="1"/>
  <c r="CP25" s="1"/>
  <c r="CP26" s="1"/>
  <c r="CP27" s="1"/>
  <c r="CP28" s="1"/>
  <c r="CP29" s="1"/>
  <c r="CP30" s="1"/>
  <c r="CP31" s="1"/>
  <c r="CP32" s="1"/>
  <c r="CP33" s="1"/>
  <c r="CP34" s="1"/>
  <c r="CP35" s="1"/>
  <c r="CP36" s="1"/>
  <c r="CP37" s="1"/>
  <c r="CP38" s="1"/>
  <c r="CP39" s="1"/>
  <c r="CP40" s="1"/>
  <c r="CP41" s="1"/>
  <c r="CP42" s="1"/>
  <c r="CP43" s="1"/>
  <c r="CP44" s="1"/>
  <c r="CP45" s="1"/>
  <c r="CP46" s="1"/>
  <c r="CP47" s="1"/>
  <c r="CP48" s="1"/>
  <c r="CP49" s="1"/>
  <c r="CP50" s="1"/>
  <c r="CP51" s="1"/>
  <c r="CP52" s="1"/>
  <c r="CP53" s="1"/>
  <c r="CP54" s="1"/>
  <c r="CP55" s="1"/>
  <c r="CP56" s="1"/>
  <c r="CP57" s="1"/>
  <c r="CP58" s="1"/>
  <c r="CP59" s="1"/>
  <c r="CP60" s="1"/>
  <c r="CP61" s="1"/>
  <c r="CP62" s="1"/>
  <c r="CP63" s="1"/>
  <c r="CP64" s="1"/>
  <c r="CP65" s="1"/>
  <c r="CP66" s="1"/>
  <c r="CP67" s="1"/>
  <c r="CP68" s="1"/>
  <c r="CP69" s="1"/>
  <c r="CP70" s="1"/>
  <c r="CP71" s="1"/>
  <c r="CP72" s="1"/>
  <c r="CP73" s="1"/>
  <c r="CP74" s="1"/>
  <c r="CP75" s="1"/>
  <c r="CP76" s="1"/>
  <c r="CP77" s="1"/>
  <c r="CP78" s="1"/>
  <c r="CP79" s="1"/>
  <c r="CP80" s="1"/>
  <c r="CP81" s="1"/>
  <c r="CP82" s="1"/>
  <c r="CP83" s="1"/>
  <c r="CP84" s="1"/>
  <c r="CP85" s="1"/>
  <c r="AL22" i="25"/>
  <c r="AO22" s="1"/>
  <c r="AB14"/>
  <c r="BS14" s="1"/>
  <c r="CJ14" s="1"/>
  <c r="CJ15" s="1"/>
  <c r="CJ16" s="1"/>
  <c r="CJ17" s="1"/>
  <c r="CJ18" s="1"/>
  <c r="CJ19" s="1"/>
  <c r="CJ20" s="1"/>
  <c r="CJ21" s="1"/>
  <c r="CJ22" s="1"/>
  <c r="CJ23" s="1"/>
  <c r="CJ24" s="1"/>
  <c r="CJ25" s="1"/>
  <c r="CJ26" s="1"/>
  <c r="CJ27" s="1"/>
  <c r="CJ28" s="1"/>
  <c r="CJ29" s="1"/>
  <c r="CJ30" s="1"/>
  <c r="CJ31" s="1"/>
  <c r="CJ32" s="1"/>
  <c r="CJ33" s="1"/>
  <c r="CJ34" s="1"/>
  <c r="CJ35" s="1"/>
  <c r="CJ36" s="1"/>
  <c r="CJ37" s="1"/>
  <c r="CJ38" s="1"/>
  <c r="CJ39" s="1"/>
  <c r="CJ40" s="1"/>
  <c r="CJ41" s="1"/>
  <c r="CJ42" s="1"/>
  <c r="CJ43" s="1"/>
  <c r="CJ44" s="1"/>
  <c r="CJ45" s="1"/>
  <c r="CJ46" s="1"/>
  <c r="CJ47" s="1"/>
  <c r="CJ48" s="1"/>
  <c r="CJ49" s="1"/>
  <c r="CJ50" s="1"/>
  <c r="CJ51" s="1"/>
  <c r="CJ52" s="1"/>
  <c r="CJ53" s="1"/>
  <c r="CJ54" s="1"/>
  <c r="CJ55" s="1"/>
  <c r="CJ56" s="1"/>
  <c r="CJ57" s="1"/>
  <c r="CJ58" s="1"/>
  <c r="CJ59" s="1"/>
  <c r="CJ60" s="1"/>
  <c r="CJ61" s="1"/>
  <c r="CJ62" s="1"/>
  <c r="CJ63" s="1"/>
  <c r="CJ64" s="1"/>
  <c r="CJ65" s="1"/>
  <c r="CJ66" s="1"/>
  <c r="CJ67" s="1"/>
  <c r="CJ68" s="1"/>
  <c r="CJ69" s="1"/>
  <c r="CJ70" s="1"/>
  <c r="CJ71" s="1"/>
  <c r="CJ72" s="1"/>
  <c r="CJ73" s="1"/>
  <c r="V14"/>
  <c r="BM14" s="1"/>
  <c r="AI14"/>
  <c r="BZ14" s="1"/>
  <c r="AG14"/>
  <c r="BX14" s="1"/>
  <c r="AE14"/>
  <c r="BV14" s="1"/>
  <c r="AC14"/>
  <c r="BT14" s="1"/>
  <c r="AA14"/>
  <c r="BR14" s="1"/>
  <c r="Y14"/>
  <c r="BP14" s="1"/>
  <c r="W14"/>
  <c r="BN14" s="1"/>
  <c r="AG7"/>
  <c r="BX7" s="1"/>
  <c r="Y6"/>
  <c r="BP6" s="1"/>
  <c r="U6"/>
  <c r="BL6" s="1"/>
  <c r="AJ77" i="17"/>
  <c r="AJ32"/>
  <c r="BO16"/>
  <c r="CF16" s="1"/>
  <c r="CF17" s="1"/>
  <c r="CF18" s="1"/>
  <c r="CF19" s="1"/>
  <c r="CF20" s="1"/>
  <c r="CF21" s="1"/>
  <c r="CF22" s="1"/>
  <c r="CF23" s="1"/>
  <c r="CF24" s="1"/>
  <c r="CF25" s="1"/>
  <c r="CF26" s="1"/>
  <c r="CF27" s="1"/>
  <c r="CF28" s="1"/>
  <c r="CF29" s="1"/>
  <c r="CF30" s="1"/>
  <c r="CF31" s="1"/>
  <c r="CF32" s="1"/>
  <c r="CF33" s="1"/>
  <c r="CF34" s="1"/>
  <c r="CF35" s="1"/>
  <c r="CF36" s="1"/>
  <c r="CF37" s="1"/>
  <c r="CF38" s="1"/>
  <c r="CF39" s="1"/>
  <c r="CF40" s="1"/>
  <c r="CF41" s="1"/>
  <c r="CF42" s="1"/>
  <c r="CF43" s="1"/>
  <c r="CF44" s="1"/>
  <c r="CF45" s="1"/>
  <c r="CF46" s="1"/>
  <c r="CF47" s="1"/>
  <c r="CF48" s="1"/>
  <c r="CF49" s="1"/>
  <c r="CF50" s="1"/>
  <c r="CF51" s="1"/>
  <c r="CF52" s="1"/>
  <c r="CF53" s="1"/>
  <c r="CF54" s="1"/>
  <c r="CF55" s="1"/>
  <c r="CF56" s="1"/>
  <c r="CF57" s="1"/>
  <c r="CF58" s="1"/>
  <c r="CF59" s="1"/>
  <c r="CF60" s="1"/>
  <c r="CF61" s="1"/>
  <c r="CF62" s="1"/>
  <c r="CF63" s="1"/>
  <c r="CF64" s="1"/>
  <c r="CF65" s="1"/>
  <c r="CF66" s="1"/>
  <c r="CF67" s="1"/>
  <c r="CF68" s="1"/>
  <c r="CF69" s="1"/>
  <c r="CF70" s="1"/>
  <c r="CF71" s="1"/>
  <c r="CF72" s="1"/>
  <c r="CF73" s="1"/>
  <c r="CF74" s="1"/>
  <c r="CF75" s="1"/>
  <c r="CF76" s="1"/>
  <c r="CF77" s="1"/>
  <c r="CF78" s="1"/>
  <c r="CF79" s="1"/>
  <c r="CF80" s="1"/>
  <c r="CF81" s="1"/>
  <c r="CF82" s="1"/>
  <c r="CF83" s="1"/>
  <c r="CF84" s="1"/>
  <c r="CF85" s="1"/>
  <c r="T140" i="34"/>
  <c r="D172" i="33"/>
  <c r="T172" s="1"/>
  <c r="D173"/>
  <c r="D175"/>
  <c r="BE148"/>
  <c r="AV148"/>
  <c r="E180"/>
  <c r="E179"/>
  <c r="C179"/>
  <c r="E178"/>
  <c r="T178" s="1"/>
  <c r="E177"/>
  <c r="C177"/>
  <c r="C176"/>
  <c r="C175"/>
  <c r="T175" s="1"/>
  <c r="T123"/>
  <c r="T95"/>
  <c r="Z14"/>
  <c r="Z6"/>
  <c r="T99"/>
  <c r="AO97"/>
  <c r="AP91"/>
  <c r="AO89"/>
  <c r="BG89" s="1"/>
  <c r="BG90" s="1"/>
  <c r="BG91" s="1"/>
  <c r="BG92" s="1"/>
  <c r="BG93" s="1"/>
  <c r="BG94" s="1"/>
  <c r="BG95" s="1"/>
  <c r="BG96" s="1"/>
  <c r="BG97" s="1"/>
  <c r="BG98" s="1"/>
  <c r="BG99" s="1"/>
  <c r="BG100" s="1"/>
  <c r="BG101" s="1"/>
  <c r="BG102" s="1"/>
  <c r="BG103" s="1"/>
  <c r="BG104" s="1"/>
  <c r="BG105" s="1"/>
  <c r="BG106" s="1"/>
  <c r="BG107" s="1"/>
  <c r="BG108" s="1"/>
  <c r="BG109" s="1"/>
  <c r="BG110" s="1"/>
  <c r="BG111" s="1"/>
  <c r="BG112" s="1"/>
  <c r="BG113" s="1"/>
  <c r="BG114" s="1"/>
  <c r="BG115" s="1"/>
  <c r="BG116" s="1"/>
  <c r="BG117" s="1"/>
  <c r="BG118" s="1"/>
  <c r="BG119" s="1"/>
  <c r="BG120" s="1"/>
  <c r="BG121" s="1"/>
  <c r="BG122" s="1"/>
  <c r="BG123" s="1"/>
  <c r="BG124" s="1"/>
  <c r="BG125" s="1"/>
  <c r="BG126" s="1"/>
  <c r="BG127" s="1"/>
  <c r="BG128" s="1"/>
  <c r="BG129" s="1"/>
  <c r="BG130" s="1"/>
  <c r="BG131" s="1"/>
  <c r="BG132" s="1"/>
  <c r="BG133" s="1"/>
  <c r="BG134" s="1"/>
  <c r="BG135" s="1"/>
  <c r="BG136" s="1"/>
  <c r="BG137" s="1"/>
  <c r="BG138" s="1"/>
  <c r="BG139" s="1"/>
  <c r="BG140" s="1"/>
  <c r="BG141" s="1"/>
  <c r="BG142" s="1"/>
  <c r="BG143" s="1"/>
  <c r="BG144" s="1"/>
  <c r="BG145" s="1"/>
  <c r="BG146" s="1"/>
  <c r="BG147" s="1"/>
  <c r="BG148" s="1"/>
  <c r="BG149" s="1"/>
  <c r="BG150" s="1"/>
  <c r="BG151" s="1"/>
  <c r="BG152" s="1"/>
  <c r="Z10"/>
  <c r="D4" i="32"/>
  <c r="B3" i="6"/>
  <c r="F541" i="30"/>
  <c r="H28" i="32"/>
  <c r="L569" i="30"/>
  <c r="CJ7" i="17" l="1"/>
  <c r="CJ8" s="1"/>
  <c r="CJ9" s="1"/>
  <c r="CJ10" s="1"/>
  <c r="CJ11" s="1"/>
  <c r="CJ12" s="1"/>
  <c r="CJ13" s="1"/>
  <c r="CJ14" s="1"/>
  <c r="F589" i="30"/>
  <c r="I589"/>
  <c r="D589"/>
  <c r="K590"/>
  <c r="I613"/>
  <c r="G623"/>
  <c r="G613"/>
  <c r="H623"/>
  <c r="G584"/>
  <c r="G590" s="1"/>
  <c r="L613"/>
  <c r="H613"/>
  <c r="F610"/>
  <c r="T197" i="33"/>
  <c r="F598" i="30"/>
  <c r="I567"/>
  <c r="K596"/>
  <c r="K595"/>
  <c r="I586"/>
  <c r="I595"/>
  <c r="J595"/>
  <c r="J586"/>
  <c r="F569"/>
  <c r="J570"/>
  <c r="D570"/>
  <c r="E569"/>
  <c r="F614"/>
  <c r="BQ73" i="25"/>
  <c r="J533" i="30" s="1"/>
  <c r="J531"/>
  <c r="CN12" i="25"/>
  <c r="CF8"/>
  <c r="CF9" s="1"/>
  <c r="CF10" s="1"/>
  <c r="CF11" s="1"/>
  <c r="CF12" s="1"/>
  <c r="CF13" s="1"/>
  <c r="CF14" s="1"/>
  <c r="CF15" s="1"/>
  <c r="CF16" s="1"/>
  <c r="CF17" s="1"/>
  <c r="CF18" s="1"/>
  <c r="CF19" s="1"/>
  <c r="CF20" s="1"/>
  <c r="CF21" s="1"/>
  <c r="CF22" s="1"/>
  <c r="CF23" s="1"/>
  <c r="CF24" s="1"/>
  <c r="CF25" s="1"/>
  <c r="CF26" s="1"/>
  <c r="CF27" s="1"/>
  <c r="CF28" s="1"/>
  <c r="CF29" s="1"/>
  <c r="CF30" s="1"/>
  <c r="CF31" s="1"/>
  <c r="CF32" s="1"/>
  <c r="CF33" s="1"/>
  <c r="CF34" s="1"/>
  <c r="CF35" s="1"/>
  <c r="CF36" s="1"/>
  <c r="CF37" s="1"/>
  <c r="CF38" s="1"/>
  <c r="CF39" s="1"/>
  <c r="CF40" s="1"/>
  <c r="CF41" s="1"/>
  <c r="CF42" s="1"/>
  <c r="CF43" s="1"/>
  <c r="CF44" s="1"/>
  <c r="CF45" s="1"/>
  <c r="CF46" s="1"/>
  <c r="CF47" s="1"/>
  <c r="CF48" s="1"/>
  <c r="CF49" s="1"/>
  <c r="CF50" s="1"/>
  <c r="CF51" s="1"/>
  <c r="CF52" s="1"/>
  <c r="CF53" s="1"/>
  <c r="CF54" s="1"/>
  <c r="CF55" s="1"/>
  <c r="CF56" s="1"/>
  <c r="CF57" s="1"/>
  <c r="CF58" s="1"/>
  <c r="CF59" s="1"/>
  <c r="CF60" s="1"/>
  <c r="CF61" s="1"/>
  <c r="CF62" s="1"/>
  <c r="CF63" s="1"/>
  <c r="CF64" s="1"/>
  <c r="CF65" s="1"/>
  <c r="CF66" s="1"/>
  <c r="CF67" s="1"/>
  <c r="CF68" s="1"/>
  <c r="CF69" s="1"/>
  <c r="CF70" s="1"/>
  <c r="CF71" s="1"/>
  <c r="CF72" s="1"/>
  <c r="CF73" s="1"/>
  <c r="E596" i="30"/>
  <c r="E597" s="1"/>
  <c r="T177" i="33"/>
  <c r="T187" i="34"/>
  <c r="BP73" i="25"/>
  <c r="I533" i="30" s="1"/>
  <c r="I531"/>
  <c r="CO7" i="25"/>
  <c r="T190" i="33"/>
  <c r="T191"/>
  <c r="E541" i="30"/>
  <c r="BH91" i="33"/>
  <c r="BH92" s="1"/>
  <c r="BH93" s="1"/>
  <c r="BH94" s="1"/>
  <c r="BH95" s="1"/>
  <c r="BH96" s="1"/>
  <c r="BH97" s="1"/>
  <c r="BH98" s="1"/>
  <c r="BH99" s="1"/>
  <c r="BH100" s="1"/>
  <c r="BH101" s="1"/>
  <c r="BH102" s="1"/>
  <c r="BH103" s="1"/>
  <c r="BH104" s="1"/>
  <c r="BH105" s="1"/>
  <c r="BH106" s="1"/>
  <c r="BH107" s="1"/>
  <c r="BH108" s="1"/>
  <c r="BH109" s="1"/>
  <c r="BH110" s="1"/>
  <c r="BH111" s="1"/>
  <c r="BH112" s="1"/>
  <c r="BH113" s="1"/>
  <c r="BH114" s="1"/>
  <c r="BH115" s="1"/>
  <c r="BH116" s="1"/>
  <c r="BH117" s="1"/>
  <c r="BH118" s="1"/>
  <c r="BH119" s="1"/>
  <c r="BH120" s="1"/>
  <c r="BH121" s="1"/>
  <c r="BH122" s="1"/>
  <c r="BH123" s="1"/>
  <c r="BH124" s="1"/>
  <c r="BH125" s="1"/>
  <c r="BH126" s="1"/>
  <c r="BH127" s="1"/>
  <c r="BH128" s="1"/>
  <c r="BH129" s="1"/>
  <c r="BH130" s="1"/>
  <c r="BH131" s="1"/>
  <c r="BH132" s="1"/>
  <c r="BH133" s="1"/>
  <c r="BH134" s="1"/>
  <c r="BH135" s="1"/>
  <c r="BH136" s="1"/>
  <c r="BH137" s="1"/>
  <c r="BH138" s="1"/>
  <c r="BH139" s="1"/>
  <c r="BH140" s="1"/>
  <c r="BH141" s="1"/>
  <c r="BH142" s="1"/>
  <c r="BH143" s="1"/>
  <c r="BH144" s="1"/>
  <c r="BH145" s="1"/>
  <c r="BH146" s="1"/>
  <c r="BH147" s="1"/>
  <c r="BH148" s="1"/>
  <c r="BH149" s="1"/>
  <c r="BH150" s="1"/>
  <c r="BH151" s="1"/>
  <c r="BH152" s="1"/>
  <c r="T176"/>
  <c r="T180"/>
  <c r="BN148"/>
  <c r="BN149" s="1"/>
  <c r="BN150" s="1"/>
  <c r="BN151" s="1"/>
  <c r="BN152" s="1"/>
  <c r="BW148"/>
  <c r="BW149" s="1"/>
  <c r="BW150" s="1"/>
  <c r="BW151" s="1"/>
  <c r="BW152" s="1"/>
  <c r="T173"/>
  <c r="CO8" i="25"/>
  <c r="CO9" s="1"/>
  <c r="CO10" s="1"/>
  <c r="CO11" s="1"/>
  <c r="CO12" s="1"/>
  <c r="CO13" s="1"/>
  <c r="CO14" s="1"/>
  <c r="CO15" s="1"/>
  <c r="CO16" s="1"/>
  <c r="CO17" s="1"/>
  <c r="CO18" s="1"/>
  <c r="CO19" s="1"/>
  <c r="CO20" s="1"/>
  <c r="CO21" s="1"/>
  <c r="CO22" s="1"/>
  <c r="CO23" s="1"/>
  <c r="CO24" s="1"/>
  <c r="CO25" s="1"/>
  <c r="CO26" s="1"/>
  <c r="CO27" s="1"/>
  <c r="CO28" s="1"/>
  <c r="CO29" s="1"/>
  <c r="CO30" s="1"/>
  <c r="CO31" s="1"/>
  <c r="CO32" s="1"/>
  <c r="CO33" s="1"/>
  <c r="CO34" s="1"/>
  <c r="CO35" s="1"/>
  <c r="BL73"/>
  <c r="E533" i="30" s="1"/>
  <c r="CP12" i="25"/>
  <c r="CP13" s="1"/>
  <c r="CP14" s="1"/>
  <c r="CP15" s="1"/>
  <c r="CP16" s="1"/>
  <c r="CP17" s="1"/>
  <c r="CP18" s="1"/>
  <c r="CP19" s="1"/>
  <c r="CP20" s="1"/>
  <c r="CP21" s="1"/>
  <c r="CP22" s="1"/>
  <c r="CP23" s="1"/>
  <c r="CP24" s="1"/>
  <c r="CP25" s="1"/>
  <c r="CP26" s="1"/>
  <c r="CP27" s="1"/>
  <c r="CP28" s="1"/>
  <c r="CP29" s="1"/>
  <c r="CP30" s="1"/>
  <c r="CP31" s="1"/>
  <c r="CP32" s="1"/>
  <c r="CP33" s="1"/>
  <c r="CP34" s="1"/>
  <c r="CP35" s="1"/>
  <c r="CP36" s="1"/>
  <c r="CP37" s="1"/>
  <c r="CP38" s="1"/>
  <c r="CP39" s="1"/>
  <c r="CP40" s="1"/>
  <c r="CP41" s="1"/>
  <c r="CP42" s="1"/>
  <c r="CP43" s="1"/>
  <c r="CP44" s="1"/>
  <c r="CP45" s="1"/>
  <c r="CP46" s="1"/>
  <c r="CP47" s="1"/>
  <c r="CP48" s="1"/>
  <c r="CP49" s="1"/>
  <c r="CP50" s="1"/>
  <c r="CP51" s="1"/>
  <c r="CP52" s="1"/>
  <c r="CP53" s="1"/>
  <c r="CP54" s="1"/>
  <c r="CP55" s="1"/>
  <c r="CP56" s="1"/>
  <c r="CP57" s="1"/>
  <c r="CP58" s="1"/>
  <c r="CP59" s="1"/>
  <c r="CP60" s="1"/>
  <c r="CP61" s="1"/>
  <c r="CQ8"/>
  <c r="T189" i="33"/>
  <c r="T182"/>
  <c r="T184"/>
  <c r="T186"/>
  <c r="CQ9" i="25"/>
  <c r="CQ10" s="1"/>
  <c r="CQ11" s="1"/>
  <c r="CQ12" s="1"/>
  <c r="CQ13" s="1"/>
  <c r="CL19"/>
  <c r="CL20" s="1"/>
  <c r="CL21" s="1"/>
  <c r="CL22" s="1"/>
  <c r="CL23" s="1"/>
  <c r="CL24" s="1"/>
  <c r="CL25" s="1"/>
  <c r="CL26" s="1"/>
  <c r="CL27" s="1"/>
  <c r="CL28" s="1"/>
  <c r="CL29" s="1"/>
  <c r="CL30" s="1"/>
  <c r="CL31" s="1"/>
  <c r="CL32" s="1"/>
  <c r="CL33" s="1"/>
  <c r="CL34" s="1"/>
  <c r="CL35" s="1"/>
  <c r="CL36" s="1"/>
  <c r="CL37" s="1"/>
  <c r="BX73"/>
  <c r="J561" i="30" s="1"/>
  <c r="J559"/>
  <c r="CI14" i="25"/>
  <c r="CI15" s="1"/>
  <c r="CI16" s="1"/>
  <c r="CI17" s="1"/>
  <c r="CI18" s="1"/>
  <c r="CI19" s="1"/>
  <c r="CI20" s="1"/>
  <c r="CI21" s="1"/>
  <c r="CI22" s="1"/>
  <c r="CI23" s="1"/>
  <c r="CI24" s="1"/>
  <c r="CI25" s="1"/>
  <c r="CI26" s="1"/>
  <c r="CI27" s="1"/>
  <c r="CI28" s="1"/>
  <c r="CI29" s="1"/>
  <c r="CI30" s="1"/>
  <c r="CI31" s="1"/>
  <c r="CI32" s="1"/>
  <c r="CI33" s="1"/>
  <c r="CI34" s="1"/>
  <c r="CI35" s="1"/>
  <c r="CI36" s="1"/>
  <c r="CI37" s="1"/>
  <c r="CI38" s="1"/>
  <c r="CI39" s="1"/>
  <c r="CI40" s="1"/>
  <c r="CI41" s="1"/>
  <c r="CI42" s="1"/>
  <c r="CI43" s="1"/>
  <c r="CI44" s="1"/>
  <c r="CI45" s="1"/>
  <c r="CI46" s="1"/>
  <c r="CI47" s="1"/>
  <c r="CI48" s="1"/>
  <c r="CI49" s="1"/>
  <c r="CI50" s="1"/>
  <c r="CI51" s="1"/>
  <c r="CI52" s="1"/>
  <c r="CI53" s="1"/>
  <c r="CI54" s="1"/>
  <c r="CI55" s="1"/>
  <c r="CI56" s="1"/>
  <c r="CI57" s="1"/>
  <c r="CI58" s="1"/>
  <c r="CI59" s="1"/>
  <c r="CI60" s="1"/>
  <c r="CI61" s="1"/>
  <c r="CI62" s="1"/>
  <c r="CI63" s="1"/>
  <c r="CI64" s="1"/>
  <c r="CI65" s="1"/>
  <c r="CI66" s="1"/>
  <c r="CI67" s="1"/>
  <c r="CI68" s="1"/>
  <c r="CI69" s="1"/>
  <c r="CI70" s="1"/>
  <c r="CI71" s="1"/>
  <c r="CI72" s="1"/>
  <c r="CI73" s="1"/>
  <c r="T188" i="33"/>
  <c r="BT73" i="25"/>
  <c r="F561" i="30" s="1"/>
  <c r="F559"/>
  <c r="D528"/>
  <c r="F528"/>
  <c r="H526"/>
  <c r="G556"/>
  <c r="G554"/>
  <c r="I554"/>
  <c r="I556"/>
  <c r="K554"/>
  <c r="K556"/>
  <c r="I528"/>
  <c r="D556"/>
  <c r="F556"/>
  <c r="CL38" i="25"/>
  <c r="CL39" s="1"/>
  <c r="CL40" s="1"/>
  <c r="CL41" s="1"/>
  <c r="CL42" s="1"/>
  <c r="CL43" s="1"/>
  <c r="CL44" s="1"/>
  <c r="CL45" s="1"/>
  <c r="CL46" s="1"/>
  <c r="CL47" s="1"/>
  <c r="CL48" s="1"/>
  <c r="CL49" s="1"/>
  <c r="CL50" s="1"/>
  <c r="CL51" s="1"/>
  <c r="CL52" s="1"/>
  <c r="CL53" s="1"/>
  <c r="CL54" s="1"/>
  <c r="CL55" s="1"/>
  <c r="CL56" s="1"/>
  <c r="CL57" s="1"/>
  <c r="CL58" s="1"/>
  <c r="CL59" s="1"/>
  <c r="CL60" s="1"/>
  <c r="CL61" s="1"/>
  <c r="CL62" s="1"/>
  <c r="CL63" s="1"/>
  <c r="CL64" s="1"/>
  <c r="CL65" s="1"/>
  <c r="CL66" s="1"/>
  <c r="CL67" s="1"/>
  <c r="CL68" s="1"/>
  <c r="CL69" s="1"/>
  <c r="CL70" s="1"/>
  <c r="CL71" s="1"/>
  <c r="CL72" s="1"/>
  <c r="CL73" s="1"/>
  <c r="CM9"/>
  <c r="CM10" s="1"/>
  <c r="CM11" s="1"/>
  <c r="CM12" s="1"/>
  <c r="CM13" s="1"/>
  <c r="BV149" i="34"/>
  <c r="BV150" s="1"/>
  <c r="BV151" s="1"/>
  <c r="BV152" s="1"/>
  <c r="BV153" s="1"/>
  <c r="CN13" i="25"/>
  <c r="CN14" s="1"/>
  <c r="CN15" s="1"/>
  <c r="CN16" s="1"/>
  <c r="CN17" s="1"/>
  <c r="CN18" s="1"/>
  <c r="CN19" s="1"/>
  <c r="CN20" s="1"/>
  <c r="CN21" s="1"/>
  <c r="CN22" s="1"/>
  <c r="CN23" s="1"/>
  <c r="CN24" s="1"/>
  <c r="CN25" s="1"/>
  <c r="CN26" s="1"/>
  <c r="CN27" s="1"/>
  <c r="CN28" s="1"/>
  <c r="CN29" s="1"/>
  <c r="CN30" s="1"/>
  <c r="CN31" s="1"/>
  <c r="CN32" s="1"/>
  <c r="CN33" s="1"/>
  <c r="CN34" s="1"/>
  <c r="CN35" s="1"/>
  <c r="CN36" s="1"/>
  <c r="CN37" s="1"/>
  <c r="CN38" s="1"/>
  <c r="CN39" s="1"/>
  <c r="CN40" s="1"/>
  <c r="CN41" s="1"/>
  <c r="CN42" s="1"/>
  <c r="CN43" s="1"/>
  <c r="CN44" s="1"/>
  <c r="CN45" s="1"/>
  <c r="CN46" s="1"/>
  <c r="CN47" s="1"/>
  <c r="CN48" s="1"/>
  <c r="CN49" s="1"/>
  <c r="CN50" s="1"/>
  <c r="CN51" s="1"/>
  <c r="CN52" s="1"/>
  <c r="CN53" s="1"/>
  <c r="CN54" s="1"/>
  <c r="CN55" s="1"/>
  <c r="CN56" s="1"/>
  <c r="CN57" s="1"/>
  <c r="CN58" s="1"/>
  <c r="CN59" s="1"/>
  <c r="CN60" s="1"/>
  <c r="CN61" s="1"/>
  <c r="CN62" s="1"/>
  <c r="CN63" s="1"/>
  <c r="CN64" s="1"/>
  <c r="CN65" s="1"/>
  <c r="CN66" s="1"/>
  <c r="CN67" s="1"/>
  <c r="CN68" s="1"/>
  <c r="CN69" s="1"/>
  <c r="CN70" s="1"/>
  <c r="CN71" s="1"/>
  <c r="CN72" s="1"/>
  <c r="CN73" s="1"/>
  <c r="BH149" i="34"/>
  <c r="BH150" s="1"/>
  <c r="BH151" s="1"/>
  <c r="BH152" s="1"/>
  <c r="BH153" s="1"/>
  <c r="BW149"/>
  <c r="BW150" s="1"/>
  <c r="BW151" s="1"/>
  <c r="BW152" s="1"/>
  <c r="BW153" s="1"/>
  <c r="CE6" i="17"/>
  <c r="CT5"/>
  <c r="D526" i="30"/>
  <c r="F526"/>
  <c r="H528"/>
  <c r="J528"/>
  <c r="J526"/>
  <c r="E556"/>
  <c r="E554"/>
  <c r="G528"/>
  <c r="G526"/>
  <c r="B10" i="37"/>
  <c r="B14" s="1"/>
  <c r="I526" i="30"/>
  <c r="D554"/>
  <c r="F554"/>
  <c r="H556"/>
  <c r="H554"/>
  <c r="J556"/>
  <c r="J554"/>
  <c r="L554"/>
  <c r="L556"/>
  <c r="CM14" i="25"/>
  <c r="CM15" s="1"/>
  <c r="CM16" s="1"/>
  <c r="CM17" s="1"/>
  <c r="CM18" s="1"/>
  <c r="CM19" s="1"/>
  <c r="CM20" s="1"/>
  <c r="CM21" s="1"/>
  <c r="CM22" s="1"/>
  <c r="CM23" s="1"/>
  <c r="CM24" s="1"/>
  <c r="CM25" s="1"/>
  <c r="CM26" s="1"/>
  <c r="CM27" s="1"/>
  <c r="CM28" s="1"/>
  <c r="CM29" s="1"/>
  <c r="CM30" s="1"/>
  <c r="CM31" s="1"/>
  <c r="CM32" s="1"/>
  <c r="CM33" s="1"/>
  <c r="CM34" s="1"/>
  <c r="CM35" s="1"/>
  <c r="CM36" s="1"/>
  <c r="CM37" s="1"/>
  <c r="CM38" s="1"/>
  <c r="CM39" s="1"/>
  <c r="CM40" s="1"/>
  <c r="CM41" s="1"/>
  <c r="CM42" s="1"/>
  <c r="CM43" s="1"/>
  <c r="CM44" s="1"/>
  <c r="CM45" s="1"/>
  <c r="CM46" s="1"/>
  <c r="CM47" s="1"/>
  <c r="CM48" s="1"/>
  <c r="CM49" s="1"/>
  <c r="CM50" s="1"/>
  <c r="CM51" s="1"/>
  <c r="CM52" s="1"/>
  <c r="CM53" s="1"/>
  <c r="CM54" s="1"/>
  <c r="CM55" s="1"/>
  <c r="CM56" s="1"/>
  <c r="CM57" s="1"/>
  <c r="CM58" s="1"/>
  <c r="CM59" s="1"/>
  <c r="CM60" s="1"/>
  <c r="CM61" s="1"/>
  <c r="CM62" s="1"/>
  <c r="CM63" s="1"/>
  <c r="CM64" s="1"/>
  <c r="CM65" s="1"/>
  <c r="CM66" s="1"/>
  <c r="CM67" s="1"/>
  <c r="CM68" s="1"/>
  <c r="CM69" s="1"/>
  <c r="CM70" s="1"/>
  <c r="CM71" s="1"/>
  <c r="CM72" s="1"/>
  <c r="CM73" s="1"/>
  <c r="H562" i="30" s="1"/>
  <c r="CQ14" i="25"/>
  <c r="CQ15" s="1"/>
  <c r="CQ16" s="1"/>
  <c r="CQ17" s="1"/>
  <c r="CQ18" s="1"/>
  <c r="CQ19" s="1"/>
  <c r="CQ20" s="1"/>
  <c r="CQ21" s="1"/>
  <c r="CQ22" s="1"/>
  <c r="CQ23" s="1"/>
  <c r="CQ24" s="1"/>
  <c r="CQ25" s="1"/>
  <c r="CQ26" s="1"/>
  <c r="CQ27" s="1"/>
  <c r="CQ28" s="1"/>
  <c r="CQ29" s="1"/>
  <c r="CQ30" s="1"/>
  <c r="CQ31" s="1"/>
  <c r="CQ32" s="1"/>
  <c r="CQ33" s="1"/>
  <c r="CQ34" s="1"/>
  <c r="CQ35" s="1"/>
  <c r="CQ36" s="1"/>
  <c r="CQ37" s="1"/>
  <c r="CQ38" s="1"/>
  <c r="CQ39" s="1"/>
  <c r="CQ40" s="1"/>
  <c r="CQ41" s="1"/>
  <c r="CQ42" s="1"/>
  <c r="CQ43" s="1"/>
  <c r="CQ44" s="1"/>
  <c r="CQ45" s="1"/>
  <c r="CQ46" s="1"/>
  <c r="CQ47" s="1"/>
  <c r="CQ48" s="1"/>
  <c r="CQ49" s="1"/>
  <c r="CQ50" s="1"/>
  <c r="CQ51" s="1"/>
  <c r="CQ52" s="1"/>
  <c r="CQ53" s="1"/>
  <c r="CQ54" s="1"/>
  <c r="CQ55" s="1"/>
  <c r="CQ56" s="1"/>
  <c r="CQ57" s="1"/>
  <c r="CQ58" s="1"/>
  <c r="CQ59" s="1"/>
  <c r="CQ60" s="1"/>
  <c r="CQ61" s="1"/>
  <c r="CQ62" s="1"/>
  <c r="CQ63" s="1"/>
  <c r="CQ64" s="1"/>
  <c r="CQ65" s="1"/>
  <c r="CQ66" s="1"/>
  <c r="CQ67" s="1"/>
  <c r="CQ68" s="1"/>
  <c r="CQ69" s="1"/>
  <c r="CQ70" s="1"/>
  <c r="CQ71" s="1"/>
  <c r="CQ72" s="1"/>
  <c r="CQ73" s="1"/>
  <c r="T181" i="33"/>
  <c r="T183"/>
  <c r="T185"/>
  <c r="T187"/>
  <c r="T186" i="34"/>
  <c r="T188"/>
  <c r="T189"/>
  <c r="CH12" i="25"/>
  <c r="CH13" s="1"/>
  <c r="CH14" s="1"/>
  <c r="CH15" s="1"/>
  <c r="CH16" s="1"/>
  <c r="CH17" s="1"/>
  <c r="CH18" s="1"/>
  <c r="CH19" s="1"/>
  <c r="CH20" s="1"/>
  <c r="CH21" s="1"/>
  <c r="CH22" s="1"/>
  <c r="CH23" s="1"/>
  <c r="CH24" s="1"/>
  <c r="CH25" s="1"/>
  <c r="CH26" s="1"/>
  <c r="CH27" s="1"/>
  <c r="CH28" s="1"/>
  <c r="CH29" s="1"/>
  <c r="CH30" s="1"/>
  <c r="CH31" s="1"/>
  <c r="CH32" s="1"/>
  <c r="CH33" s="1"/>
  <c r="CH34" s="1"/>
  <c r="CH35" s="1"/>
  <c r="CH36" s="1"/>
  <c r="CH37" s="1"/>
  <c r="CH38" s="1"/>
  <c r="CH39" s="1"/>
  <c r="CH40" s="1"/>
  <c r="CH41" s="1"/>
  <c r="CH42" s="1"/>
  <c r="CH43" s="1"/>
  <c r="CH44" s="1"/>
  <c r="CH45" s="1"/>
  <c r="CH46" s="1"/>
  <c r="CH47" s="1"/>
  <c r="CH48" s="1"/>
  <c r="CH49" s="1"/>
  <c r="CH50" s="1"/>
  <c r="CH51" s="1"/>
  <c r="CH52" s="1"/>
  <c r="CH53" s="1"/>
  <c r="CH54" s="1"/>
  <c r="CH55" s="1"/>
  <c r="CH56" s="1"/>
  <c r="CH57" s="1"/>
  <c r="CH58" s="1"/>
  <c r="CH59" s="1"/>
  <c r="CH60" s="1"/>
  <c r="CH61" s="1"/>
  <c r="CH62" s="1"/>
  <c r="CH63" s="1"/>
  <c r="CH64" s="1"/>
  <c r="CH65" s="1"/>
  <c r="CH66" s="1"/>
  <c r="CH67" s="1"/>
  <c r="CH68" s="1"/>
  <c r="CH69" s="1"/>
  <c r="CH70" s="1"/>
  <c r="CH71" s="1"/>
  <c r="CH72" s="1"/>
  <c r="CH73" s="1"/>
  <c r="BQ149" i="34"/>
  <c r="BQ150" s="1"/>
  <c r="BQ151" s="1"/>
  <c r="BQ152" s="1"/>
  <c r="BQ153" s="1"/>
  <c r="BU149"/>
  <c r="BU150" s="1"/>
  <c r="BU151" s="1"/>
  <c r="BU152" s="1"/>
  <c r="BU153" s="1"/>
  <c r="G637" i="30"/>
  <c r="G653"/>
  <c r="G649"/>
  <c r="D596"/>
  <c r="D597" s="1"/>
  <c r="D562"/>
  <c r="CI74" i="25"/>
  <c r="CI75" s="1"/>
  <c r="CI76" s="1"/>
  <c r="CI77" s="1"/>
  <c r="CI78" s="1"/>
  <c r="CI79" s="1"/>
  <c r="CI80" s="1"/>
  <c r="CI81" s="1"/>
  <c r="CI82" s="1"/>
  <c r="CI83" s="1"/>
  <c r="CI84" s="1"/>
  <c r="CI85" s="1"/>
  <c r="CQ74"/>
  <c r="CQ75" s="1"/>
  <c r="CQ76" s="1"/>
  <c r="CQ77" s="1"/>
  <c r="CQ78" s="1"/>
  <c r="CQ79" s="1"/>
  <c r="CQ80" s="1"/>
  <c r="CQ81" s="1"/>
  <c r="CQ82" s="1"/>
  <c r="CQ83" s="1"/>
  <c r="CQ84" s="1"/>
  <c r="CQ85" s="1"/>
  <c r="L562" i="30"/>
  <c r="CJ74" i="25"/>
  <c r="CJ75" s="1"/>
  <c r="CJ76" s="1"/>
  <c r="CJ77" s="1"/>
  <c r="CJ78" s="1"/>
  <c r="CJ79" s="1"/>
  <c r="CJ80" s="1"/>
  <c r="CJ81" s="1"/>
  <c r="CJ82" s="1"/>
  <c r="CJ83" s="1"/>
  <c r="CJ84" s="1"/>
  <c r="CJ85" s="1"/>
  <c r="E562" i="30"/>
  <c r="G562"/>
  <c r="CL74" i="25"/>
  <c r="CL75" s="1"/>
  <c r="CL76" s="1"/>
  <c r="CL77" s="1"/>
  <c r="CL78" s="1"/>
  <c r="CL79" s="1"/>
  <c r="CL80" s="1"/>
  <c r="CL81" s="1"/>
  <c r="CL82" s="1"/>
  <c r="CL83" s="1"/>
  <c r="CL84" s="1"/>
  <c r="CL85" s="1"/>
  <c r="CL8" i="17"/>
  <c r="L623" i="30"/>
  <c r="CF74" i="25"/>
  <c r="CF75" s="1"/>
  <c r="CF76" s="1"/>
  <c r="CF77" s="1"/>
  <c r="CF78" s="1"/>
  <c r="CF79" s="1"/>
  <c r="CF80" s="1"/>
  <c r="CF81" s="1"/>
  <c r="CF82" s="1"/>
  <c r="CF83" s="1"/>
  <c r="CF84" s="1"/>
  <c r="CF85" s="1"/>
  <c r="H534" i="30"/>
  <c r="CB12" i="25"/>
  <c r="CG6"/>
  <c r="CG7" s="1"/>
  <c r="CG8" s="1"/>
  <c r="CG9" s="1"/>
  <c r="CG10" s="1"/>
  <c r="CG11" s="1"/>
  <c r="CG12" s="1"/>
  <c r="CG13" s="1"/>
  <c r="CG14" s="1"/>
  <c r="CG15" s="1"/>
  <c r="CG16" s="1"/>
  <c r="CG17" s="1"/>
  <c r="CG18" s="1"/>
  <c r="CG19" s="1"/>
  <c r="CG20" s="1"/>
  <c r="CG21" s="1"/>
  <c r="CG22" s="1"/>
  <c r="CG23" s="1"/>
  <c r="CG24" s="1"/>
  <c r="CG25" s="1"/>
  <c r="CG26" s="1"/>
  <c r="CG27" s="1"/>
  <c r="CG28" s="1"/>
  <c r="CG29" s="1"/>
  <c r="CG30" s="1"/>
  <c r="CG31" s="1"/>
  <c r="CG32" s="1"/>
  <c r="CG33" s="1"/>
  <c r="CG34" s="1"/>
  <c r="CG35" s="1"/>
  <c r="CG36" s="1"/>
  <c r="CG37" s="1"/>
  <c r="CG38" s="1"/>
  <c r="CG39" s="1"/>
  <c r="CG40" s="1"/>
  <c r="CG41" s="1"/>
  <c r="CG42" s="1"/>
  <c r="CG43" s="1"/>
  <c r="CG44" s="1"/>
  <c r="CG45" s="1"/>
  <c r="CG46" s="1"/>
  <c r="CG47" s="1"/>
  <c r="CG48" s="1"/>
  <c r="CG49" s="1"/>
  <c r="CG50" s="1"/>
  <c r="CG51" s="1"/>
  <c r="CG52" s="1"/>
  <c r="CG53" s="1"/>
  <c r="CG54" s="1"/>
  <c r="CG55" s="1"/>
  <c r="CG56" s="1"/>
  <c r="CG57" s="1"/>
  <c r="CG58" s="1"/>
  <c r="CG59" s="1"/>
  <c r="CG60" s="1"/>
  <c r="CG61" s="1"/>
  <c r="CG62" s="1"/>
  <c r="CG63" s="1"/>
  <c r="CG64" s="1"/>
  <c r="CG65" s="1"/>
  <c r="CG66" s="1"/>
  <c r="CG67" s="1"/>
  <c r="CG68" s="1"/>
  <c r="CG69" s="1"/>
  <c r="CG70" s="1"/>
  <c r="CG71" s="1"/>
  <c r="CG72" s="1"/>
  <c r="CG73" s="1"/>
  <c r="CD14"/>
  <c r="CD15" s="1"/>
  <c r="CD16" s="1"/>
  <c r="CD17" s="1"/>
  <c r="CD18" s="1"/>
  <c r="CD19" s="1"/>
  <c r="CD20" s="1"/>
  <c r="CD21" s="1"/>
  <c r="CD22" s="1"/>
  <c r="CD23" s="1"/>
  <c r="CD24" s="1"/>
  <c r="CD25" s="1"/>
  <c r="CD26" s="1"/>
  <c r="CD27" s="1"/>
  <c r="CD28" s="1"/>
  <c r="CD29" s="1"/>
  <c r="CD30" s="1"/>
  <c r="CD31" s="1"/>
  <c r="CD32" s="1"/>
  <c r="CD33" s="1"/>
  <c r="CD34" s="1"/>
  <c r="CD35" s="1"/>
  <c r="CD36" s="1"/>
  <c r="CD37" s="1"/>
  <c r="CD38" s="1"/>
  <c r="CD39" s="1"/>
  <c r="CD40" s="1"/>
  <c r="CD41" s="1"/>
  <c r="CD42" s="1"/>
  <c r="CD43" s="1"/>
  <c r="CD44" s="1"/>
  <c r="CD45" s="1"/>
  <c r="CD46" s="1"/>
  <c r="CD47" s="1"/>
  <c r="CD48" s="1"/>
  <c r="CD49" s="1"/>
  <c r="CD50" s="1"/>
  <c r="CD51" s="1"/>
  <c r="CD52" s="1"/>
  <c r="CD53" s="1"/>
  <c r="CD54" s="1"/>
  <c r="CD55" s="1"/>
  <c r="CD56" s="1"/>
  <c r="CD57" s="1"/>
  <c r="CD58" s="1"/>
  <c r="CD59" s="1"/>
  <c r="CD60" s="1"/>
  <c r="CD61" s="1"/>
  <c r="CD62" s="1"/>
  <c r="CD63" s="1"/>
  <c r="CD64" s="1"/>
  <c r="CD65" s="1"/>
  <c r="CD66" s="1"/>
  <c r="CD67" s="1"/>
  <c r="CD68" s="1"/>
  <c r="CD69" s="1"/>
  <c r="CD70" s="1"/>
  <c r="CD71" s="1"/>
  <c r="CD72" s="1"/>
  <c r="CD73" s="1"/>
  <c r="CC6"/>
  <c r="CR5"/>
  <c r="F623" i="30"/>
  <c r="T179" i="33"/>
  <c r="CO36" i="25"/>
  <c r="CO37" s="1"/>
  <c r="CO38" s="1"/>
  <c r="CO39" s="1"/>
  <c r="CO40" s="1"/>
  <c r="CO41" s="1"/>
  <c r="CO42" s="1"/>
  <c r="CO43" s="1"/>
  <c r="CO44" s="1"/>
  <c r="CO45" s="1"/>
  <c r="CO46" s="1"/>
  <c r="CO47" s="1"/>
  <c r="CO48" s="1"/>
  <c r="CO49" s="1"/>
  <c r="CO50" s="1"/>
  <c r="CO51" s="1"/>
  <c r="CO52" s="1"/>
  <c r="CO53" s="1"/>
  <c r="CO54" s="1"/>
  <c r="CO55" s="1"/>
  <c r="CO56" s="1"/>
  <c r="CO57" s="1"/>
  <c r="CO58" s="1"/>
  <c r="CO59" s="1"/>
  <c r="CO60" s="1"/>
  <c r="CO61" s="1"/>
  <c r="CO62" s="1"/>
  <c r="CO63" s="1"/>
  <c r="CO64" s="1"/>
  <c r="CO65" s="1"/>
  <c r="CO66" s="1"/>
  <c r="CO67" s="1"/>
  <c r="CO68" s="1"/>
  <c r="CO69" s="1"/>
  <c r="CO70" s="1"/>
  <c r="CO71" s="1"/>
  <c r="CO72" s="1"/>
  <c r="CO73" s="1"/>
  <c r="CE14"/>
  <c r="CE15" s="1"/>
  <c r="CE16" s="1"/>
  <c r="CE17" s="1"/>
  <c r="CE18" s="1"/>
  <c r="CE19" s="1"/>
  <c r="CE20" s="1"/>
  <c r="CE21" s="1"/>
  <c r="CE22" s="1"/>
  <c r="CE23" s="1"/>
  <c r="CE24" s="1"/>
  <c r="CE25" s="1"/>
  <c r="CE26" s="1"/>
  <c r="CE27" s="1"/>
  <c r="CE28" s="1"/>
  <c r="CE29" s="1"/>
  <c r="CE30" s="1"/>
  <c r="CE31" s="1"/>
  <c r="CE32" s="1"/>
  <c r="CE33" s="1"/>
  <c r="CE34" s="1"/>
  <c r="CE35" s="1"/>
  <c r="CE36" s="1"/>
  <c r="CE37" s="1"/>
  <c r="CE38" s="1"/>
  <c r="CE39" s="1"/>
  <c r="CE40" s="1"/>
  <c r="CE41" s="1"/>
  <c r="CE42" s="1"/>
  <c r="CE43" s="1"/>
  <c r="CE44" s="1"/>
  <c r="CE45" s="1"/>
  <c r="CE46" s="1"/>
  <c r="CE47" s="1"/>
  <c r="CE48" s="1"/>
  <c r="CE49" s="1"/>
  <c r="CE50" s="1"/>
  <c r="CE51" s="1"/>
  <c r="CE52" s="1"/>
  <c r="CE53" s="1"/>
  <c r="CE54" s="1"/>
  <c r="CE55" s="1"/>
  <c r="CE56" s="1"/>
  <c r="CE57" s="1"/>
  <c r="CE58" s="1"/>
  <c r="CE59" s="1"/>
  <c r="CE60" s="1"/>
  <c r="CE61" s="1"/>
  <c r="CE62" s="1"/>
  <c r="CE63" s="1"/>
  <c r="CE64" s="1"/>
  <c r="CE65" s="1"/>
  <c r="CE66" s="1"/>
  <c r="CE67" s="1"/>
  <c r="CE68" s="1"/>
  <c r="CE69" s="1"/>
  <c r="CE70" s="1"/>
  <c r="CE71" s="1"/>
  <c r="CE72" s="1"/>
  <c r="CE73" s="1"/>
  <c r="CP62"/>
  <c r="CP63" s="1"/>
  <c r="CP64" s="1"/>
  <c r="CP65" s="1"/>
  <c r="CP66" s="1"/>
  <c r="CP67" s="1"/>
  <c r="CP68" s="1"/>
  <c r="CP69" s="1"/>
  <c r="CP70" s="1"/>
  <c r="CP71" s="1"/>
  <c r="CP72" s="1"/>
  <c r="CP73" s="1"/>
  <c r="CK14"/>
  <c r="CK15" s="1"/>
  <c r="CK16" s="1"/>
  <c r="CK17" s="1"/>
  <c r="CK18" s="1"/>
  <c r="CK19" s="1"/>
  <c r="CK20" s="1"/>
  <c r="CK21" s="1"/>
  <c r="CK22" s="1"/>
  <c r="CK23" s="1"/>
  <c r="CK24" s="1"/>
  <c r="CK25" s="1"/>
  <c r="CK26" s="1"/>
  <c r="CK27" s="1"/>
  <c r="CK28" s="1"/>
  <c r="CK29" s="1"/>
  <c r="CK30" s="1"/>
  <c r="CK31" s="1"/>
  <c r="CK32" s="1"/>
  <c r="CK33" s="1"/>
  <c r="CK34" s="1"/>
  <c r="CK35" s="1"/>
  <c r="CK36" s="1"/>
  <c r="CK37" s="1"/>
  <c r="CK38" s="1"/>
  <c r="CK39" s="1"/>
  <c r="CK40" s="1"/>
  <c r="CK41" s="1"/>
  <c r="CK42" s="1"/>
  <c r="CK43" s="1"/>
  <c r="CK44" s="1"/>
  <c r="CK45" s="1"/>
  <c r="CK46" s="1"/>
  <c r="CK47" s="1"/>
  <c r="CK48" s="1"/>
  <c r="CK49" s="1"/>
  <c r="CK50" s="1"/>
  <c r="CK51" s="1"/>
  <c r="CK52" s="1"/>
  <c r="CK53" s="1"/>
  <c r="CK54" s="1"/>
  <c r="CK55" s="1"/>
  <c r="CK56" s="1"/>
  <c r="CK57" s="1"/>
  <c r="CK58" s="1"/>
  <c r="CK59" s="1"/>
  <c r="CK60" s="1"/>
  <c r="CK61" s="1"/>
  <c r="CK62" s="1"/>
  <c r="CK63" s="1"/>
  <c r="CK64" s="1"/>
  <c r="CK65" s="1"/>
  <c r="CK66" s="1"/>
  <c r="CK67" s="1"/>
  <c r="CK68" s="1"/>
  <c r="CK69" s="1"/>
  <c r="CK70" s="1"/>
  <c r="CK71" s="1"/>
  <c r="CK72" s="1"/>
  <c r="CK73" s="1"/>
  <c r="I623" i="30"/>
  <c r="E623"/>
  <c r="J623"/>
  <c r="CJ15" i="17"/>
  <c r="B742" i="30"/>
  <c r="I585" l="1"/>
  <c r="B731"/>
  <c r="C17" i="37"/>
  <c r="C20" s="1"/>
  <c r="C10"/>
  <c r="C14" s="1"/>
  <c r="K597" i="30"/>
  <c r="K598"/>
  <c r="G568"/>
  <c r="K570"/>
  <c r="D541"/>
  <c r="B662"/>
  <c r="B743"/>
  <c r="B744" s="1"/>
  <c r="CM74" i="25"/>
  <c r="CM75" s="1"/>
  <c r="CM76" s="1"/>
  <c r="CM77" s="1"/>
  <c r="CM78" s="1"/>
  <c r="CM79" s="1"/>
  <c r="CM80" s="1"/>
  <c r="CM81" s="1"/>
  <c r="CM82" s="1"/>
  <c r="CM83" s="1"/>
  <c r="CM84" s="1"/>
  <c r="CM85" s="1"/>
  <c r="E730" i="30"/>
  <c r="E729"/>
  <c r="J534"/>
  <c r="CH74" i="25"/>
  <c r="CH75" s="1"/>
  <c r="CH76" s="1"/>
  <c r="CH77" s="1"/>
  <c r="CH78" s="1"/>
  <c r="CH79" s="1"/>
  <c r="CH80" s="1"/>
  <c r="CH81" s="1"/>
  <c r="CH82" s="1"/>
  <c r="CH83" s="1"/>
  <c r="CH84" s="1"/>
  <c r="CH85" s="1"/>
  <c r="L557" i="30"/>
  <c r="J557"/>
  <c r="H557"/>
  <c r="F557"/>
  <c r="G539"/>
  <c r="E557"/>
  <c r="CE7" i="17"/>
  <c r="CT6"/>
  <c r="I562" i="30"/>
  <c r="CN74" i="25"/>
  <c r="CN75" s="1"/>
  <c r="CN76" s="1"/>
  <c r="CN77" s="1"/>
  <c r="CN78" s="1"/>
  <c r="CN79" s="1"/>
  <c r="CN80" s="1"/>
  <c r="CN81" s="1"/>
  <c r="CN82" s="1"/>
  <c r="CN83" s="1"/>
  <c r="CN84" s="1"/>
  <c r="CN85" s="1"/>
  <c r="I557" i="30"/>
  <c r="H529"/>
  <c r="F529"/>
  <c r="D529"/>
  <c r="H614"/>
  <c r="L614"/>
  <c r="F562"/>
  <c r="CK74" i="25"/>
  <c r="CK75" s="1"/>
  <c r="CK76" s="1"/>
  <c r="CK77" s="1"/>
  <c r="CK78" s="1"/>
  <c r="CK79" s="1"/>
  <c r="CK80" s="1"/>
  <c r="CK81" s="1"/>
  <c r="CK82" s="1"/>
  <c r="CK83" s="1"/>
  <c r="CK84" s="1"/>
  <c r="CK85" s="1"/>
  <c r="K562" i="30"/>
  <c r="CP74" i="25"/>
  <c r="CP75" s="1"/>
  <c r="CP76" s="1"/>
  <c r="CP77" s="1"/>
  <c r="CP78" s="1"/>
  <c r="CP79" s="1"/>
  <c r="CP80" s="1"/>
  <c r="CP81" s="1"/>
  <c r="CP82" s="1"/>
  <c r="CP83" s="1"/>
  <c r="CP84" s="1"/>
  <c r="CP85" s="1"/>
  <c r="CC7"/>
  <c r="CR6"/>
  <c r="CD74"/>
  <c r="CD75" s="1"/>
  <c r="CD76" s="1"/>
  <c r="CD77" s="1"/>
  <c r="CD78" s="1"/>
  <c r="CD79" s="1"/>
  <c r="CD80" s="1"/>
  <c r="CD81" s="1"/>
  <c r="CD82" s="1"/>
  <c r="CD83" s="1"/>
  <c r="CD84" s="1"/>
  <c r="CD85" s="1"/>
  <c r="F534" i="30"/>
  <c r="CG74" i="25"/>
  <c r="CG75" s="1"/>
  <c r="CG76" s="1"/>
  <c r="CG77" s="1"/>
  <c r="CG78" s="1"/>
  <c r="CG79" s="1"/>
  <c r="CG80" s="1"/>
  <c r="CG81" s="1"/>
  <c r="CG82" s="1"/>
  <c r="CG83" s="1"/>
  <c r="CG84" s="1"/>
  <c r="CG85" s="1"/>
  <c r="CB13"/>
  <c r="G534" i="30"/>
  <c r="CE74" i="25"/>
  <c r="CE75" s="1"/>
  <c r="CE76" s="1"/>
  <c r="CE77" s="1"/>
  <c r="CE78" s="1"/>
  <c r="CE79" s="1"/>
  <c r="CE80" s="1"/>
  <c r="CE81" s="1"/>
  <c r="CE82" s="1"/>
  <c r="CE83" s="1"/>
  <c r="CE84" s="1"/>
  <c r="CE85" s="1"/>
  <c r="J562" i="30"/>
  <c r="CO74" i="25"/>
  <c r="CO75" s="1"/>
  <c r="CO76" s="1"/>
  <c r="CO77" s="1"/>
  <c r="CO78" s="1"/>
  <c r="CO79" s="1"/>
  <c r="CO80" s="1"/>
  <c r="CO81" s="1"/>
  <c r="CO82" s="1"/>
  <c r="CO83" s="1"/>
  <c r="CO84" s="1"/>
  <c r="CO85" s="1"/>
  <c r="F624" i="30"/>
  <c r="F625" s="1"/>
  <c r="L624"/>
  <c r="L625" s="1"/>
  <c r="CL9" i="17"/>
  <c r="CJ16"/>
  <c r="E540" i="30"/>
  <c r="K586"/>
  <c r="I624"/>
  <c r="I625" s="1"/>
  <c r="E731" l="1"/>
  <c r="G614"/>
  <c r="D614"/>
  <c r="H586"/>
  <c r="J614"/>
  <c r="G586"/>
  <c r="I534"/>
  <c r="I539"/>
  <c r="J539"/>
  <c r="C665"/>
  <c r="C666"/>
  <c r="F665"/>
  <c r="F663"/>
  <c r="F664"/>
  <c r="F662"/>
  <c r="C662"/>
  <c r="C663"/>
  <c r="C664"/>
  <c r="G567"/>
  <c r="D540"/>
  <c r="D567"/>
  <c r="H539"/>
  <c r="K557"/>
  <c r="G557"/>
  <c r="K567"/>
  <c r="J529"/>
  <c r="E567"/>
  <c r="I529"/>
  <c r="J567"/>
  <c r="D539"/>
  <c r="D568"/>
  <c r="G529"/>
  <c r="D557"/>
  <c r="K568"/>
  <c r="CE8" i="17"/>
  <c r="CT7"/>
  <c r="E568" i="30"/>
  <c r="H567"/>
  <c r="J568"/>
  <c r="H568"/>
  <c r="L626"/>
  <c r="F626"/>
  <c r="CB14" i="25"/>
  <c r="CR7"/>
  <c r="CC8"/>
  <c r="CL10" i="17"/>
  <c r="I626" i="30"/>
  <c r="CJ17" i="17"/>
  <c r="H540" i="30" l="1"/>
  <c r="K569"/>
  <c r="J569"/>
  <c r="E558"/>
  <c r="CE9" i="17"/>
  <c r="CT8"/>
  <c r="I530" i="30"/>
  <c r="J530"/>
  <c r="H530"/>
  <c r="G558"/>
  <c r="K558"/>
  <c r="J558"/>
  <c r="D558"/>
  <c r="G530"/>
  <c r="I558"/>
  <c r="F530"/>
  <c r="F558"/>
  <c r="L558"/>
  <c r="H558"/>
  <c r="D530"/>
  <c r="CL11" i="17"/>
  <c r="CC9" i="25"/>
  <c r="CR8"/>
  <c r="CB15"/>
  <c r="CJ18" i="17"/>
  <c r="CE10" l="1"/>
  <c r="CT9"/>
  <c r="CB16" i="25"/>
  <c r="CC10"/>
  <c r="CR9"/>
  <c r="CL12" i="17"/>
  <c r="CJ19"/>
  <c r="CE11" l="1"/>
  <c r="CT10"/>
  <c r="CB17" i="25"/>
  <c r="CL13" i="17"/>
  <c r="CC11" i="25"/>
  <c r="CR10"/>
  <c r="CJ20" i="17"/>
  <c r="CE12" l="1"/>
  <c r="CT11"/>
  <c r="CC12" i="25"/>
  <c r="CR11"/>
  <c r="CL14" i="17"/>
  <c r="CB18" i="25"/>
  <c r="CJ21" i="17"/>
  <c r="CE13" l="1"/>
  <c r="CT12"/>
  <c r="CB19" i="25"/>
  <c r="CL15" i="17"/>
  <c r="CC13" i="25"/>
  <c r="CR12"/>
  <c r="CJ22" i="17"/>
  <c r="CE14" l="1"/>
  <c r="CT13"/>
  <c r="CC14" i="25"/>
  <c r="CR13"/>
  <c r="CL16" i="17"/>
  <c r="CB20" i="25"/>
  <c r="CJ23" i="17"/>
  <c r="CE15" l="1"/>
  <c r="CT14"/>
  <c r="CB21" i="25"/>
  <c r="CL17" i="17"/>
  <c r="CC15" i="25"/>
  <c r="CR14"/>
  <c r="CJ24" i="17"/>
  <c r="CE16" l="1"/>
  <c r="CT15"/>
  <c r="CC16" i="25"/>
  <c r="CR15"/>
  <c r="CL18" i="17"/>
  <c r="CB22" i="25"/>
  <c r="CJ25" i="17"/>
  <c r="CE17" l="1"/>
  <c r="CT16"/>
  <c r="CB23" i="25"/>
  <c r="CL19" i="17"/>
  <c r="CC17" i="25"/>
  <c r="CR16"/>
  <c r="CJ26" i="17"/>
  <c r="CE18" l="1"/>
  <c r="CT17"/>
  <c r="CC18" i="25"/>
  <c r="CR17"/>
  <c r="CL20" i="17"/>
  <c r="CB24" i="25"/>
  <c r="CJ27" i="17"/>
  <c r="CE19" l="1"/>
  <c r="CT18"/>
  <c r="CL21"/>
  <c r="CC19" i="25"/>
  <c r="CR18"/>
  <c r="CB25"/>
  <c r="CJ28" i="17"/>
  <c r="CE20" l="1"/>
  <c r="CT19"/>
  <c r="CB26" i="25"/>
  <c r="CC20"/>
  <c r="CR19"/>
  <c r="CL22" i="17"/>
  <c r="CJ29"/>
  <c r="CE21" l="1"/>
  <c r="CT20"/>
  <c r="CL23"/>
  <c r="CC21" i="25"/>
  <c r="CR20"/>
  <c r="CB27"/>
  <c r="CJ30" i="17"/>
  <c r="CE22" l="1"/>
  <c r="CT21"/>
  <c r="CB28" i="25"/>
  <c r="CC22"/>
  <c r="CR21"/>
  <c r="CL24" i="17"/>
  <c r="CJ31"/>
  <c r="CE23" l="1"/>
  <c r="CT22"/>
  <c r="CB29" i="25"/>
  <c r="CL25" i="17"/>
  <c r="CC23" i="25"/>
  <c r="CR22"/>
  <c r="CJ32" i="17"/>
  <c r="CE24" l="1"/>
  <c r="CT23"/>
  <c r="CC24" i="25"/>
  <c r="CR23"/>
  <c r="CL26" i="17"/>
  <c r="CB30" i="25"/>
  <c r="CJ33" i="17"/>
  <c r="CE25" l="1"/>
  <c r="CT24"/>
  <c r="CL27"/>
  <c r="CC25" i="25"/>
  <c r="CR24"/>
  <c r="CB31"/>
  <c r="CJ34" i="17"/>
  <c r="CE26" l="1"/>
  <c r="CT25"/>
  <c r="CB32" i="25"/>
  <c r="CC26"/>
  <c r="CR25"/>
  <c r="CL28" i="17"/>
  <c r="CJ35"/>
  <c r="CE27" l="1"/>
  <c r="CT26"/>
  <c r="CL29"/>
  <c r="CC27" i="25"/>
  <c r="CR26"/>
  <c r="CB33"/>
  <c r="CJ36" i="17"/>
  <c r="CE28" l="1"/>
  <c r="CT27"/>
  <c r="CC28" i="25"/>
  <c r="CR27"/>
  <c r="CL30" i="17"/>
  <c r="CB34" i="25"/>
  <c r="CJ37" i="17"/>
  <c r="CE29" l="1"/>
  <c r="CT28"/>
  <c r="CL31"/>
  <c r="CC29" i="25"/>
  <c r="CR28"/>
  <c r="CB35"/>
  <c r="CJ38" i="17"/>
  <c r="CE30" l="1"/>
  <c r="CT29"/>
  <c r="CB36" i="25"/>
  <c r="CC30"/>
  <c r="CR29"/>
  <c r="CL32" i="17"/>
  <c r="CJ39"/>
  <c r="CE31" l="1"/>
  <c r="CT30"/>
  <c r="CL33"/>
  <c r="CC31" i="25"/>
  <c r="CR30"/>
  <c r="CB37"/>
  <c r="CJ40" i="17"/>
  <c r="CE32" l="1"/>
  <c r="CT31"/>
  <c r="CB38" i="25"/>
  <c r="CC32"/>
  <c r="CR31"/>
  <c r="CL34" i="17"/>
  <c r="CJ41"/>
  <c r="CE33" l="1"/>
  <c r="CT32"/>
  <c r="CL35"/>
  <c r="CC33" i="25"/>
  <c r="CR32"/>
  <c r="CB39"/>
  <c r="CJ42" i="17"/>
  <c r="CE34" l="1"/>
  <c r="CT33"/>
  <c r="CB40" i="25"/>
  <c r="CC34"/>
  <c r="CR33"/>
  <c r="CL36" i="17"/>
  <c r="CJ43"/>
  <c r="CE35" l="1"/>
  <c r="CT34"/>
  <c r="CL37"/>
  <c r="CC35" i="25"/>
  <c r="CR34"/>
  <c r="CB41"/>
  <c r="CJ44" i="17"/>
  <c r="CE36" l="1"/>
  <c r="CT35"/>
  <c r="CB42" i="25"/>
  <c r="CC36"/>
  <c r="CR35"/>
  <c r="CL38" i="17"/>
  <c r="CJ45"/>
  <c r="CE37" l="1"/>
  <c r="CT36"/>
  <c r="CL39"/>
  <c r="CC37" i="25"/>
  <c r="CR36"/>
  <c r="CB43"/>
  <c r="CJ46" i="17"/>
  <c r="CE38" l="1"/>
  <c r="CT37"/>
  <c r="CB44" i="25"/>
  <c r="CC38"/>
  <c r="CR37"/>
  <c r="CL40" i="17"/>
  <c r="CJ47"/>
  <c r="CE39" l="1"/>
  <c r="CT38"/>
  <c r="CL41"/>
  <c r="CC39" i="25"/>
  <c r="CR38"/>
  <c r="CB45"/>
  <c r="CJ48" i="17"/>
  <c r="CE40" l="1"/>
  <c r="CT39"/>
  <c r="CC40" i="25"/>
  <c r="CR39"/>
  <c r="CL42" i="17"/>
  <c r="CB46" i="25"/>
  <c r="CJ49" i="17"/>
  <c r="CE41" l="1"/>
  <c r="CT40"/>
  <c r="CL43"/>
  <c r="CC41" i="25"/>
  <c r="CR40"/>
  <c r="CB47"/>
  <c r="CJ50" i="17"/>
  <c r="CE42" l="1"/>
  <c r="CT41"/>
  <c r="CB48" i="25"/>
  <c r="CC42"/>
  <c r="CR41"/>
  <c r="CL44" i="17"/>
  <c r="CJ51"/>
  <c r="CE43" l="1"/>
  <c r="CT42"/>
  <c r="CL45"/>
  <c r="CC43" i="25"/>
  <c r="CR42"/>
  <c r="CB49"/>
  <c r="CJ52" i="17"/>
  <c r="CE44" l="1"/>
  <c r="CT43"/>
  <c r="CB50" i="25"/>
  <c r="CC44"/>
  <c r="CR43"/>
  <c r="CL46" i="17"/>
  <c r="CJ53"/>
  <c r="CE45" l="1"/>
  <c r="CT44"/>
  <c r="CL47"/>
  <c r="CC45" i="25"/>
  <c r="CR44"/>
  <c r="CB51"/>
  <c r="CJ54" i="17"/>
  <c r="CE46" l="1"/>
  <c r="CT45"/>
  <c r="CB52" i="25"/>
  <c r="CC46"/>
  <c r="CR45"/>
  <c r="CL48" i="17"/>
  <c r="CJ55"/>
  <c r="CE47" l="1"/>
  <c r="CT46"/>
  <c r="CL49"/>
  <c r="CC47" i="25"/>
  <c r="CR46"/>
  <c r="CB53"/>
  <c r="CJ56" i="17"/>
  <c r="CE48" l="1"/>
  <c r="CT47"/>
  <c r="CB54" i="25"/>
  <c r="CC48"/>
  <c r="CR47"/>
  <c r="CL50" i="17"/>
  <c r="CJ57"/>
  <c r="CE49" l="1"/>
  <c r="CT48"/>
  <c r="CL51"/>
  <c r="CC49" i="25"/>
  <c r="CR48"/>
  <c r="CB55"/>
  <c r="CJ58" i="17"/>
  <c r="CE50" l="1"/>
  <c r="CT49"/>
  <c r="CB56" i="25"/>
  <c r="CC50"/>
  <c r="CR49"/>
  <c r="CL52" i="17"/>
  <c r="CJ59"/>
  <c r="CE51" l="1"/>
  <c r="CT50"/>
  <c r="CL53"/>
  <c r="CC51" i="25"/>
  <c r="CR50"/>
  <c r="CB57"/>
  <c r="CJ60" i="17"/>
  <c r="CE52" l="1"/>
  <c r="CT51"/>
  <c r="CB58" i="25"/>
  <c r="CC52"/>
  <c r="CR51"/>
  <c r="CL54" i="17"/>
  <c r="CJ61"/>
  <c r="CE53" l="1"/>
  <c r="CT52"/>
  <c r="CL55"/>
  <c r="CC53" i="25"/>
  <c r="CR52"/>
  <c r="CB59"/>
  <c r="CJ62" i="17"/>
  <c r="CE54" l="1"/>
  <c r="CT53"/>
  <c r="CB60" i="25"/>
  <c r="CC54"/>
  <c r="CR53"/>
  <c r="CL56" i="17"/>
  <c r="CJ63"/>
  <c r="CE55" l="1"/>
  <c r="CT54"/>
  <c r="CL57"/>
  <c r="CC55" i="25"/>
  <c r="CR54"/>
  <c r="CB61"/>
  <c r="CJ64" i="17"/>
  <c r="CE56" l="1"/>
  <c r="CT55"/>
  <c r="CB62" i="25"/>
  <c r="CC56"/>
  <c r="CR55"/>
  <c r="CL58" i="17"/>
  <c r="CJ65"/>
  <c r="CE57" l="1"/>
  <c r="CT56"/>
  <c r="CL59"/>
  <c r="CC57" i="25"/>
  <c r="CR56"/>
  <c r="CB63"/>
  <c r="CJ66" i="17"/>
  <c r="CE58" l="1"/>
  <c r="CT57"/>
  <c r="CB64" i="25"/>
  <c r="CC58"/>
  <c r="CR57"/>
  <c r="CL60" i="17"/>
  <c r="CJ67"/>
  <c r="CE59" l="1"/>
  <c r="CT58"/>
  <c r="CL61"/>
  <c r="CC59" i="25"/>
  <c r="CR58"/>
  <c r="CB65"/>
  <c r="CJ68" i="17"/>
  <c r="CE60" l="1"/>
  <c r="CT59"/>
  <c r="CC60" i="25"/>
  <c r="CR59"/>
  <c r="CL62" i="17"/>
  <c r="CB66" i="25"/>
  <c r="CJ69" i="17"/>
  <c r="CE61" l="1"/>
  <c r="CT60"/>
  <c r="CL63"/>
  <c r="CC61" i="25"/>
  <c r="CR60"/>
  <c r="CB67"/>
  <c r="CJ70" i="17"/>
  <c r="CE62" l="1"/>
  <c r="CT61"/>
  <c r="CB68" i="25"/>
  <c r="CC62"/>
  <c r="CR61"/>
  <c r="CL64" i="17"/>
  <c r="CJ71"/>
  <c r="CE63" l="1"/>
  <c r="CT62"/>
  <c r="CL65"/>
  <c r="CC63" i="25"/>
  <c r="CR62"/>
  <c r="CB69"/>
  <c r="CJ72" i="17"/>
  <c r="CE64" l="1"/>
  <c r="CT63"/>
  <c r="CB70" i="25"/>
  <c r="CC64"/>
  <c r="CR63"/>
  <c r="CL66" i="17"/>
  <c r="CJ73"/>
  <c r="CE65" l="1"/>
  <c r="CT64"/>
  <c r="CL67"/>
  <c r="CC65" i="25"/>
  <c r="CR64"/>
  <c r="CB71"/>
  <c r="CJ74" i="17"/>
  <c r="CE66" l="1"/>
  <c r="CT65"/>
  <c r="CB72" i="25"/>
  <c r="CC66"/>
  <c r="CR65"/>
  <c r="CL68" i="17"/>
  <c r="CJ75"/>
  <c r="CE67" l="1"/>
  <c r="CT66"/>
  <c r="CL69"/>
  <c r="CC67" i="25"/>
  <c r="CR66"/>
  <c r="CB73"/>
  <c r="CJ76" i="17"/>
  <c r="CE68" l="1"/>
  <c r="CT67"/>
  <c r="D534" i="30"/>
  <c r="CB74" i="25"/>
  <c r="CC68"/>
  <c r="CR67"/>
  <c r="CL70" i="17"/>
  <c r="CJ77"/>
  <c r="CE69" l="1"/>
  <c r="CT68"/>
  <c r="CB75" i="25"/>
  <c r="CL71" i="17"/>
  <c r="CC69" i="25"/>
  <c r="CR68"/>
  <c r="CJ78" i="17"/>
  <c r="CE70" l="1"/>
  <c r="CT69"/>
  <c r="CC70" i="25"/>
  <c r="CR69"/>
  <c r="CL72" i="17"/>
  <c r="CB76" i="25"/>
  <c r="CJ79" i="17"/>
  <c r="CE71" l="1"/>
  <c r="CT70"/>
  <c r="CB77" i="25"/>
  <c r="CL73" i="17"/>
  <c r="CC71" i="25"/>
  <c r="CR70"/>
  <c r="CJ80" i="17"/>
  <c r="CE72" l="1"/>
  <c r="CT71"/>
  <c r="CC72" i="25"/>
  <c r="CR71"/>
  <c r="CL74" i="17"/>
  <c r="CB78" i="25"/>
  <c r="CJ81" i="17"/>
  <c r="CE73" l="1"/>
  <c r="CT72"/>
  <c r="CB79" i="25"/>
  <c r="CL75" i="17"/>
  <c r="CC73" i="25"/>
  <c r="CR72"/>
  <c r="CJ82" i="17"/>
  <c r="CE74" l="1"/>
  <c r="CT73"/>
  <c r="E534" i="30"/>
  <c r="CC74" i="25"/>
  <c r="CR73"/>
  <c r="CL76" i="17"/>
  <c r="CB80" i="25"/>
  <c r="CJ83" i="17"/>
  <c r="CE75" l="1"/>
  <c r="CT74"/>
  <c r="CB81" i="25"/>
  <c r="CL77" i="17"/>
  <c r="CC75" i="25"/>
  <c r="CR74"/>
  <c r="CJ84" i="17"/>
  <c r="CE76" l="1"/>
  <c r="CT75"/>
  <c r="CC76" i="25"/>
  <c r="CR75"/>
  <c r="CL78" i="17"/>
  <c r="CB82" i="25"/>
  <c r="CJ85" i="17"/>
  <c r="CE77" l="1"/>
  <c r="CT76"/>
  <c r="CL79"/>
  <c r="CC77" i="25"/>
  <c r="CR76"/>
  <c r="CB83"/>
  <c r="CE78" i="17" l="1"/>
  <c r="CT77"/>
  <c r="CB84" i="25"/>
  <c r="CC78"/>
  <c r="CR77"/>
  <c r="CL80" i="17"/>
  <c r="CE79" l="1"/>
  <c r="CT78"/>
  <c r="CL81"/>
  <c r="CC79" i="25"/>
  <c r="CR78"/>
  <c r="CB85"/>
  <c r="CE80" i="17" l="1"/>
  <c r="CT79"/>
  <c r="CC80" i="25"/>
  <c r="CR79"/>
  <c r="CL82" i="17"/>
  <c r="CE81" l="1"/>
  <c r="CT80"/>
  <c r="CL83"/>
  <c r="CC81" i="25"/>
  <c r="CR80"/>
  <c r="CE82" i="17" l="1"/>
  <c r="CT81"/>
  <c r="CC82" i="25"/>
  <c r="CR81"/>
  <c r="CL84" i="17"/>
  <c r="CE83" l="1"/>
  <c r="CT82"/>
  <c r="CL85"/>
  <c r="CC83" i="25"/>
  <c r="CR82"/>
  <c r="CE84" i="17" l="1"/>
  <c r="CT83"/>
  <c r="CC84" i="25"/>
  <c r="CR83"/>
  <c r="CE85" i="17" l="1"/>
  <c r="CT85" s="1"/>
  <c r="CT84"/>
  <c r="CC85" i="25"/>
  <c r="CR85" s="1"/>
  <c r="CR84"/>
  <c r="C472" i="30" l="1"/>
  <c r="H626" l="1"/>
  <c r="H624" l="1"/>
  <c r="H625" s="1"/>
  <c r="G626" l="1"/>
  <c r="G624" l="1"/>
  <c r="G625" s="1"/>
  <c r="C484" l="1"/>
  <c r="C487" l="1"/>
  <c r="C489" l="1"/>
  <c r="C511" l="1"/>
  <c r="C512" l="1"/>
  <c r="D626"/>
  <c r="D624" l="1"/>
  <c r="D625" s="1"/>
  <c r="K626" l="1"/>
  <c r="J626"/>
  <c r="K624" l="1"/>
  <c r="K625" s="1"/>
  <c r="J624" l="1"/>
  <c r="J625" s="1"/>
  <c r="B738" l="1"/>
  <c r="B739" s="1"/>
  <c r="J540" l="1"/>
  <c r="C510"/>
  <c r="D598" l="1"/>
  <c r="E626"/>
  <c r="I598"/>
  <c r="G598"/>
  <c r="J598" l="1"/>
  <c r="E598"/>
  <c r="I540"/>
  <c r="H598"/>
  <c r="E624"/>
  <c r="E625" s="1"/>
  <c r="I596"/>
  <c r="I597" s="1"/>
  <c r="G540"/>
  <c r="J596" l="1"/>
  <c r="J597" s="1"/>
  <c r="G596"/>
  <c r="G597" s="1"/>
  <c r="H596"/>
  <c r="H597" s="1"/>
  <c r="C471" l="1"/>
  <c r="B745" l="1"/>
  <c r="B749" s="1"/>
  <c r="C473"/>
  <c r="C477" l="1"/>
  <c r="C481"/>
  <c r="C480" l="1"/>
  <c r="C482"/>
  <c r="C485" l="1"/>
  <c r="C486" l="1"/>
  <c r="C488" l="1"/>
  <c r="C490" l="1"/>
  <c r="C491"/>
  <c r="C432"/>
  <c r="B730" s="1"/>
  <c r="C433" s="1"/>
  <c r="B496" l="1"/>
  <c r="B685" l="1"/>
  <c r="D663" l="1"/>
  <c r="E663" s="1"/>
  <c r="D662"/>
  <c r="E662" s="1"/>
  <c r="D665"/>
  <c r="E665" s="1"/>
  <c r="D664"/>
  <c r="E664" s="1"/>
  <c r="D666"/>
  <c r="E666" s="1"/>
  <c r="B686"/>
  <c r="B515" l="1"/>
  <c r="C493" l="1"/>
  <c r="C504" l="1"/>
  <c r="C508" l="1"/>
  <c r="C509"/>
  <c r="F401" l="1"/>
  <c r="C513" l="1"/>
</calcChain>
</file>

<file path=xl/comments1.xml><?xml version="1.0" encoding="utf-8"?>
<comments xmlns="http://schemas.openxmlformats.org/spreadsheetml/2006/main">
  <authors>
    <author>plattc</author>
    <author>karsondd</author>
    <author>deenf</author>
    <author>klidonam</author>
  </authors>
  <commentList>
    <comment ref="A3" authorId="0">
      <text>
        <r>
          <rPr>
            <b/>
            <sz val="8"/>
            <color indexed="81"/>
            <rFont val="Tahoma"/>
            <family val="2"/>
          </rPr>
          <t>plattc:</t>
        </r>
        <r>
          <rPr>
            <sz val="8"/>
            <color indexed="81"/>
            <rFont val="Tahoma"/>
            <family val="2"/>
          </rPr>
          <t xml:space="preserve">
Update here for monthy/quarterly</t>
        </r>
      </text>
    </comment>
    <comment ref="B5" authorId="0">
      <text>
        <r>
          <rPr>
            <b/>
            <sz val="8"/>
            <color indexed="81"/>
            <rFont val="Tahoma"/>
            <family val="2"/>
          </rPr>
          <t>plattc:</t>
        </r>
        <r>
          <rPr>
            <sz val="8"/>
            <color indexed="81"/>
            <rFont val="Tahoma"/>
            <family val="2"/>
          </rPr>
          <t xml:space="preserve">
Updated depending on Issuer payment date in cell D9</t>
        </r>
      </text>
    </comment>
    <comment ref="B9" authorId="0">
      <text>
        <r>
          <rPr>
            <b/>
            <sz val="8"/>
            <color indexed="81"/>
            <rFont val="Tahoma"/>
            <family val="2"/>
          </rPr>
          <t>plattc:</t>
        </r>
        <r>
          <rPr>
            <sz val="8"/>
            <color indexed="81"/>
            <rFont val="Tahoma"/>
            <family val="2"/>
          </rPr>
          <t xml:space="preserve">
Update here to change whole report</t>
        </r>
      </text>
    </comment>
    <comment ref="B10" authorId="0">
      <text>
        <r>
          <rPr>
            <b/>
            <sz val="8"/>
            <color indexed="81"/>
            <rFont val="Tahoma"/>
            <family val="2"/>
          </rPr>
          <t>plattc:</t>
        </r>
        <r>
          <rPr>
            <sz val="8"/>
            <color indexed="81"/>
            <rFont val="Tahoma"/>
            <family val="2"/>
          </rPr>
          <t xml:space="preserve">
Update here to change whole report</t>
        </r>
      </text>
    </comment>
    <comment ref="C41" authorId="0">
      <text>
        <r>
          <rPr>
            <b/>
            <sz val="8"/>
            <color indexed="81"/>
            <rFont val="Tahoma"/>
            <family val="2"/>
          </rPr>
          <t>plattc:</t>
        </r>
        <r>
          <rPr>
            <sz val="8"/>
            <color indexed="81"/>
            <rFont val="Tahoma"/>
            <family val="2"/>
          </rPr>
          <t xml:space="preserve">
From Strat Tables</t>
        </r>
      </text>
    </comment>
    <comment ref="D41" authorId="0">
      <text>
        <r>
          <rPr>
            <b/>
            <sz val="8"/>
            <color indexed="81"/>
            <rFont val="Tahoma"/>
            <family val="2"/>
          </rPr>
          <t>plattc:</t>
        </r>
        <r>
          <rPr>
            <sz val="8"/>
            <color indexed="81"/>
            <rFont val="Tahoma"/>
            <family val="2"/>
          </rPr>
          <t xml:space="preserve">
Update as per the monthly report to
 refelct the new cut off - 31/03/07</t>
        </r>
      </text>
    </comment>
    <comment ref="C42" authorId="0">
      <text>
        <r>
          <rPr>
            <b/>
            <sz val="8"/>
            <color indexed="81"/>
            <rFont val="Tahoma"/>
            <family val="2"/>
          </rPr>
          <t>plattc:</t>
        </r>
        <r>
          <rPr>
            <sz val="8"/>
            <color indexed="81"/>
            <rFont val="Tahoma"/>
            <family val="2"/>
          </rPr>
          <t xml:space="preserve">
From Strats</t>
        </r>
      </text>
    </comment>
    <comment ref="D42" authorId="0">
      <text>
        <r>
          <rPr>
            <b/>
            <sz val="8"/>
            <color indexed="81"/>
            <rFont val="Tahoma"/>
            <family val="2"/>
          </rPr>
          <t>plattc:</t>
        </r>
        <r>
          <rPr>
            <sz val="8"/>
            <color indexed="81"/>
            <rFont val="Tahoma"/>
            <family val="2"/>
          </rPr>
          <t xml:space="preserve">
All stats as of 'CUT-OFF DATE' are set in the prospectus and do not get updated!</t>
        </r>
      </text>
    </comment>
    <comment ref="C43" authorId="0">
      <text>
        <r>
          <rPr>
            <b/>
            <sz val="8"/>
            <color indexed="81"/>
            <rFont val="Tahoma"/>
            <family val="2"/>
          </rPr>
          <t>plattc:</t>
        </r>
        <r>
          <rPr>
            <sz val="8"/>
            <color indexed="81"/>
            <rFont val="Tahoma"/>
            <family val="2"/>
          </rPr>
          <t xml:space="preserve">
From Strats - Be Careful to use correct figure  - this </t>
        </r>
        <r>
          <rPr>
            <b/>
            <sz val="8"/>
            <color indexed="81"/>
            <rFont val="Tahoma"/>
            <family val="2"/>
          </rPr>
          <t xml:space="preserve">excludes the reserve balance </t>
        </r>
        <r>
          <rPr>
            <sz val="8"/>
            <color indexed="81"/>
            <rFont val="Tahoma"/>
            <family val="2"/>
          </rPr>
          <t xml:space="preserve">(it's only the loans - not the whole account!) </t>
        </r>
        <r>
          <rPr>
            <sz val="8"/>
            <color indexed="81"/>
            <rFont val="Tahoma"/>
            <family val="2"/>
          </rPr>
          <t>so take from the 'Coupon Rate on Mortgage Loans' section ( Pg 10 in this report)</t>
        </r>
      </text>
    </comment>
    <comment ref="D43" authorId="0">
      <text>
        <r>
          <rPr>
            <b/>
            <sz val="8"/>
            <color indexed="81"/>
            <rFont val="Tahoma"/>
            <family val="2"/>
          </rPr>
          <t>plattc:</t>
        </r>
        <r>
          <rPr>
            <sz val="8"/>
            <color indexed="81"/>
            <rFont val="Tahoma"/>
            <family val="2"/>
          </rPr>
          <t xml:space="preserve">
All stats as of 'CUT-OFF DATE' are set in the prospectus and do not get updated!</t>
        </r>
      </text>
    </comment>
    <comment ref="D44" authorId="0">
      <text>
        <r>
          <rPr>
            <b/>
            <sz val="8"/>
            <color indexed="81"/>
            <rFont val="Tahoma"/>
            <family val="2"/>
          </rPr>
          <t>plattc:</t>
        </r>
        <r>
          <rPr>
            <sz val="8"/>
            <color indexed="81"/>
            <rFont val="Tahoma"/>
            <family val="2"/>
          </rPr>
          <t xml:space="preserve">
All stats as of 'CUT-OFF DATE' are set in the prospectus and do not get updated!</t>
        </r>
      </text>
    </comment>
    <comment ref="D45" authorId="0">
      <text>
        <r>
          <rPr>
            <b/>
            <sz val="8"/>
            <color indexed="81"/>
            <rFont val="Tahoma"/>
            <family val="2"/>
          </rPr>
          <t>plattc:</t>
        </r>
        <r>
          <rPr>
            <sz val="8"/>
            <color indexed="81"/>
            <rFont val="Tahoma"/>
            <family val="2"/>
          </rPr>
          <t xml:space="preserve">
All stats as of 'CUT-OFF DATE' are set in the prospectus and do not get updated!</t>
        </r>
      </text>
    </comment>
    <comment ref="C352" authorId="0">
      <text>
        <r>
          <rPr>
            <b/>
            <sz val="8"/>
            <color indexed="81"/>
            <rFont val="Tahoma"/>
            <family val="2"/>
          </rPr>
          <t>plattc:</t>
        </r>
        <r>
          <rPr>
            <sz val="8"/>
            <color indexed="81"/>
            <rFont val="Tahoma"/>
            <family val="2"/>
          </rPr>
          <t xml:space="preserve">
This comes from the numbers on th estrat table - weighted avg calc on Richards spreadsheet.</t>
        </r>
      </text>
    </comment>
    <comment ref="D352" authorId="0">
      <text>
        <r>
          <rPr>
            <b/>
            <sz val="10"/>
            <color indexed="81"/>
            <rFont val="Tahoma"/>
            <family val="2"/>
          </rPr>
          <t>plattc: From Prospectus this is the Loan Principal+Reserve Principal+ any unpaid interest (In this case, August Trust Waterfall DATA and Infrast inputs! B 156)</t>
        </r>
        <r>
          <rPr>
            <sz val="8"/>
            <color indexed="81"/>
            <rFont val="Tahoma"/>
            <family val="2"/>
          </rPr>
          <t xml:space="preserve">
</t>
        </r>
      </text>
    </comment>
    <comment ref="C353" authorId="0">
      <text>
        <r>
          <rPr>
            <b/>
            <sz val="8"/>
            <color indexed="81"/>
            <rFont val="Tahoma"/>
            <family val="2"/>
          </rPr>
          <t>plattc:</t>
        </r>
        <r>
          <rPr>
            <sz val="8"/>
            <color indexed="81"/>
            <rFont val="Tahoma"/>
            <family val="2"/>
          </rPr>
          <t xml:space="preserve">
update this by adding the new number above..</t>
        </r>
      </text>
    </comment>
    <comment ref="D353" authorId="0">
      <text>
        <r>
          <rPr>
            <b/>
            <sz val="8"/>
            <color indexed="81"/>
            <rFont val="Tahoma"/>
            <family val="2"/>
          </rPr>
          <t>plattc:</t>
        </r>
        <r>
          <rPr>
            <sz val="8"/>
            <color indexed="81"/>
            <rFont val="Tahoma"/>
            <family val="2"/>
          </rPr>
          <t xml:space="preserve">
Update this by adding the new figure above
</t>
        </r>
      </text>
    </comment>
    <comment ref="C356" authorId="0">
      <text>
        <r>
          <rPr>
            <b/>
            <sz val="8"/>
            <color indexed="81"/>
            <rFont val="Tahoma"/>
            <family val="2"/>
          </rPr>
          <t>plattc:</t>
        </r>
        <r>
          <rPr>
            <sz val="8"/>
            <color indexed="81"/>
            <rFont val="Tahoma"/>
            <family val="2"/>
          </rPr>
          <t xml:space="preserve">
This comes from the numbers on th estrat table - weighted avg calc on Richards spreadsheet.</t>
        </r>
      </text>
    </comment>
    <comment ref="D356" authorId="0">
      <text>
        <r>
          <rPr>
            <b/>
            <sz val="8"/>
            <color indexed="81"/>
            <rFont val="Tahoma"/>
            <family val="2"/>
          </rPr>
          <t>plattc:</t>
        </r>
        <r>
          <rPr>
            <sz val="8"/>
            <color indexed="81"/>
            <rFont val="Tahoma"/>
            <family val="2"/>
          </rPr>
          <t xml:space="preserve">
This is equal to th ecalc principal balance + reserve balance Data&amp;Infr Inputs! B159+B162 for th erelevant period.</t>
        </r>
      </text>
    </comment>
    <comment ref="C357" authorId="0">
      <text>
        <r>
          <rPr>
            <b/>
            <sz val="8"/>
            <color indexed="81"/>
            <rFont val="Tahoma"/>
            <family val="2"/>
          </rPr>
          <t>plattc:</t>
        </r>
        <r>
          <rPr>
            <sz val="8"/>
            <color indexed="81"/>
            <rFont val="Tahoma"/>
            <family val="2"/>
          </rPr>
          <t xml:space="preserve">
update this by adding the new number above..</t>
        </r>
      </text>
    </comment>
    <comment ref="D357" authorId="0">
      <text>
        <r>
          <rPr>
            <b/>
            <sz val="8"/>
            <color indexed="81"/>
            <rFont val="Tahoma"/>
            <family val="2"/>
          </rPr>
          <t>plattc:</t>
        </r>
        <r>
          <rPr>
            <sz val="8"/>
            <color indexed="81"/>
            <rFont val="Tahoma"/>
            <family val="2"/>
          </rPr>
          <t xml:space="preserve">
update this by adding the new number above..</t>
        </r>
      </text>
    </comment>
    <comment ref="C364" authorId="0">
      <text>
        <r>
          <rPr>
            <b/>
            <sz val="11"/>
            <color indexed="81"/>
            <rFont val="Tahoma"/>
            <family val="2"/>
          </rPr>
          <t>plattc:</t>
        </r>
        <r>
          <rPr>
            <sz val="11"/>
            <color indexed="81"/>
            <rFont val="Tahoma"/>
            <family val="2"/>
          </rPr>
          <t xml:space="preserve">
Taken from the relevant monthly reports i.e. this one is pasted from the Sept  report</t>
        </r>
      </text>
    </comment>
    <comment ref="F364" authorId="0">
      <text>
        <r>
          <rPr>
            <b/>
            <sz val="8"/>
            <color indexed="81"/>
            <rFont val="Tahoma"/>
            <family val="2"/>
          </rPr>
          <t>plattc:</t>
        </r>
        <r>
          <rPr>
            <sz val="8"/>
            <color indexed="81"/>
            <rFont val="Tahoma"/>
            <family val="2"/>
          </rPr>
          <t xml:space="preserve">
cut and paste from Oct report</t>
        </r>
      </text>
    </comment>
    <comment ref="I364" authorId="0">
      <text>
        <r>
          <rPr>
            <b/>
            <sz val="8"/>
            <color indexed="81"/>
            <rFont val="Tahoma"/>
            <family val="2"/>
          </rPr>
          <t>plattc:</t>
        </r>
        <r>
          <rPr>
            <sz val="8"/>
            <color indexed="81"/>
            <rFont val="Tahoma"/>
            <family val="2"/>
          </rPr>
          <t xml:space="preserve">
Cut and paste from Nov report</t>
        </r>
      </text>
    </comment>
    <comment ref="D397" authorId="0">
      <text>
        <r>
          <rPr>
            <b/>
            <sz val="8"/>
            <color indexed="81"/>
            <rFont val="Tahoma"/>
            <family val="2"/>
          </rPr>
          <t>plattc:</t>
        </r>
        <r>
          <rPr>
            <sz val="8"/>
            <color indexed="81"/>
            <rFont val="Tahoma"/>
            <family val="2"/>
          </rPr>
          <t xml:space="preserve">
Check that these have not changed</t>
        </r>
      </text>
    </comment>
    <comment ref="C421" authorId="0">
      <text>
        <r>
          <rPr>
            <sz val="11"/>
            <color indexed="81"/>
            <rFont val="Tahoma"/>
            <family val="2"/>
          </rPr>
          <t>Next months sharcalc B76</t>
        </r>
      </text>
    </comment>
    <comment ref="C422" authorId="0">
      <text>
        <r>
          <rPr>
            <b/>
            <sz val="10"/>
            <color indexed="81"/>
            <rFont val="Tahoma"/>
            <family val="2"/>
          </rPr>
          <t>plattc:</t>
        </r>
        <r>
          <rPr>
            <sz val="10"/>
            <color indexed="81"/>
            <rFont val="Tahoma"/>
            <family val="2"/>
          </rPr>
          <t xml:space="preserve">
Current waterfalls Inputs!B125 this sequals the balance as at the  end of the monthl + Reserve acct. balance increse for next period - reserve acct principal repayment for next period</t>
        </r>
      </text>
    </comment>
    <comment ref="C423" authorId="0">
      <text>
        <r>
          <rPr>
            <b/>
            <sz val="8"/>
            <color indexed="81"/>
            <rFont val="Tahoma"/>
            <family val="2"/>
          </rPr>
          <t>plattc:</t>
        </r>
        <r>
          <rPr>
            <sz val="8"/>
            <color indexed="81"/>
            <rFont val="Tahoma"/>
            <family val="2"/>
          </rPr>
          <t xml:space="preserve">
From following months  Share calc!B25</t>
        </r>
      </text>
    </comment>
    <comment ref="C424" authorId="0">
      <text>
        <r>
          <rPr>
            <b/>
            <sz val="8"/>
            <color indexed="81"/>
            <rFont val="Tahoma"/>
            <family val="2"/>
          </rPr>
          <t>plattc:</t>
        </r>
        <r>
          <rPr>
            <sz val="8"/>
            <color indexed="81"/>
            <rFont val="Tahoma"/>
            <family val="2"/>
          </rPr>
          <t xml:space="preserve">
From current Share calc</t>
        </r>
      </text>
    </comment>
    <comment ref="C426" authorId="0">
      <text>
        <r>
          <rPr>
            <b/>
            <sz val="8"/>
            <color indexed="81"/>
            <rFont val="Tahoma"/>
            <family val="2"/>
          </rPr>
          <t>plattc:</t>
        </r>
        <r>
          <rPr>
            <sz val="8"/>
            <color indexed="81"/>
            <rFont val="Tahoma"/>
            <family val="2"/>
          </rPr>
          <t xml:space="preserve">
From following months Share calc B77</t>
        </r>
      </text>
    </comment>
    <comment ref="C427" authorId="0">
      <text>
        <r>
          <rPr>
            <b/>
            <sz val="8"/>
            <color indexed="81"/>
            <rFont val="Tahoma"/>
            <family val="2"/>
          </rPr>
          <t>plattc:</t>
        </r>
        <r>
          <rPr>
            <sz val="8"/>
            <color indexed="81"/>
            <rFont val="Tahoma"/>
            <family val="2"/>
          </rPr>
          <t xml:space="preserve">
From  following months Share calc B81</t>
        </r>
      </text>
    </comment>
    <comment ref="C428" authorId="0">
      <text>
        <r>
          <rPr>
            <b/>
            <sz val="8"/>
            <color indexed="81"/>
            <rFont val="Tahoma"/>
            <family val="2"/>
          </rPr>
          <t>plattc:</t>
        </r>
        <r>
          <rPr>
            <sz val="8"/>
            <color indexed="81"/>
            <rFont val="Tahoma"/>
            <family val="2"/>
          </rPr>
          <t xml:space="preserve">
From following months  Share calc B46</t>
        </r>
      </text>
    </comment>
    <comment ref="C429" authorId="0">
      <text>
        <r>
          <rPr>
            <b/>
            <sz val="8"/>
            <color indexed="81"/>
            <rFont val="Tahoma"/>
            <family val="2"/>
          </rPr>
          <t>plattc:</t>
        </r>
        <r>
          <rPr>
            <sz val="8"/>
            <color indexed="81"/>
            <rFont val="Tahoma"/>
            <family val="2"/>
          </rPr>
          <t xml:space="preserve">
From  following months Share calc B85</t>
        </r>
      </text>
    </comment>
    <comment ref="C430" authorId="0">
      <text>
        <r>
          <rPr>
            <b/>
            <sz val="8"/>
            <color indexed="81"/>
            <rFont val="Tahoma"/>
            <family val="2"/>
          </rPr>
          <t>plattc:</t>
        </r>
        <r>
          <rPr>
            <sz val="8"/>
            <color indexed="81"/>
            <rFont val="Tahoma"/>
            <family val="2"/>
          </rPr>
          <t xml:space="preserve">
current Waterfalls shareCalc B190</t>
        </r>
      </text>
    </comment>
    <comment ref="C432" authorId="1">
      <text>
        <r>
          <rPr>
            <b/>
            <sz val="10"/>
            <color indexed="81"/>
            <rFont val="Tahoma"/>
            <family val="2"/>
          </rPr>
          <t>karsondd:</t>
        </r>
        <r>
          <rPr>
            <sz val="10"/>
            <color indexed="81"/>
            <rFont val="Tahoma"/>
            <family val="2"/>
          </rPr>
          <t xml:space="preserve">
Feb 11 Rpt remove Reserve repayment amount 303,028,255 hardcoded in.</t>
        </r>
      </text>
    </comment>
    <comment ref="D447" authorId="0">
      <text>
        <r>
          <rPr>
            <b/>
            <sz val="8"/>
            <color indexed="81"/>
            <rFont val="Tahoma"/>
            <family val="2"/>
          </rPr>
          <t>plattc:</t>
        </r>
        <r>
          <rPr>
            <sz val="8"/>
            <color indexed="81"/>
            <rFont val="Tahoma"/>
            <family val="2"/>
          </rPr>
          <t xml:space="preserve">
from the three monthly trust waterfalls within the quarter. Take from trust waterfalls!B18 onward..
</t>
        </r>
      </text>
    </comment>
    <comment ref="D458" authorId="0">
      <text>
        <r>
          <rPr>
            <b/>
            <sz val="8"/>
            <color indexed="81"/>
            <rFont val="Tahoma"/>
            <family val="2"/>
          </rPr>
          <t>plattc:</t>
        </r>
        <r>
          <rPr>
            <sz val="8"/>
            <color indexed="81"/>
            <rFont val="Tahoma"/>
            <family val="2"/>
          </rPr>
          <t xml:space="preserve">
Trust waterfall!B29</t>
        </r>
      </text>
    </comment>
    <comment ref="D459" authorId="0">
      <text>
        <r>
          <rPr>
            <b/>
            <sz val="8"/>
            <color indexed="81"/>
            <rFont val="Tahoma"/>
            <family val="2"/>
          </rPr>
          <t>plattc:</t>
        </r>
        <r>
          <rPr>
            <sz val="8"/>
            <color indexed="81"/>
            <rFont val="Tahoma"/>
            <family val="2"/>
          </rPr>
          <t xml:space="preserve">
Current trust waterfalls!B44 (cell in pink!)
 </t>
        </r>
      </text>
    </comment>
    <comment ref="D460" authorId="0">
      <text>
        <r>
          <rPr>
            <b/>
            <sz val="8"/>
            <color indexed="81"/>
            <rFont val="Tahoma"/>
            <family val="2"/>
          </rPr>
          <t>plattc:</t>
        </r>
        <r>
          <rPr>
            <sz val="8"/>
            <color indexed="81"/>
            <rFont val="Tahoma"/>
            <family val="2"/>
          </rPr>
          <t xml:space="preserve">
Current trust waterfalls!B39</t>
        </r>
      </text>
    </comment>
    <comment ref="D461" authorId="0">
      <text>
        <r>
          <rPr>
            <b/>
            <sz val="8"/>
            <color indexed="81"/>
            <rFont val="Tahoma"/>
            <family val="2"/>
          </rPr>
          <t>plattc:</t>
        </r>
        <r>
          <rPr>
            <sz val="8"/>
            <color indexed="81"/>
            <rFont val="Tahoma"/>
            <family val="2"/>
          </rPr>
          <t xml:space="preserve">
current waterfalls!B40
</t>
        </r>
      </text>
    </comment>
    <comment ref="D462" authorId="0">
      <text>
        <r>
          <rPr>
            <b/>
            <sz val="8"/>
            <color indexed="81"/>
            <rFont val="Tahoma"/>
            <family val="2"/>
          </rPr>
          <t>plattc:</t>
        </r>
        <r>
          <rPr>
            <sz val="8"/>
            <color indexed="81"/>
            <rFont val="Tahoma"/>
            <family val="2"/>
          </rPr>
          <t xml:space="preserve">
current trust waterfalls!B41</t>
        </r>
      </text>
    </comment>
    <comment ref="B684" authorId="0">
      <text>
        <r>
          <rPr>
            <b/>
            <sz val="8"/>
            <color indexed="81"/>
            <rFont val="Tahoma"/>
            <family val="2"/>
          </rPr>
          <t>plattc:</t>
        </r>
        <r>
          <rPr>
            <sz val="8"/>
            <color indexed="81"/>
            <rFont val="Tahoma"/>
            <family val="2"/>
          </rPr>
          <t xml:space="preserve">
from the previous funding waterfall ! B188</t>
        </r>
      </text>
    </comment>
    <comment ref="B693" authorId="0">
      <text>
        <r>
          <rPr>
            <b/>
            <sz val="8"/>
            <color indexed="81"/>
            <rFont val="Tahoma"/>
            <family val="2"/>
          </rPr>
          <t>plattc:</t>
        </r>
        <r>
          <rPr>
            <sz val="8"/>
            <color indexed="81"/>
            <rFont val="Tahoma"/>
            <family val="2"/>
          </rPr>
          <t xml:space="preserve">
Closing balance from previous quarterly report</t>
        </r>
      </text>
    </comment>
    <comment ref="B694" authorId="0">
      <text>
        <r>
          <rPr>
            <b/>
            <sz val="12"/>
            <color indexed="81"/>
            <rFont val="Tahoma"/>
            <family val="2"/>
          </rPr>
          <t>plattc:</t>
        </r>
        <r>
          <rPr>
            <sz val="12"/>
            <color indexed="81"/>
            <rFont val="Tahoma"/>
            <family val="2"/>
          </rPr>
          <t xml:space="preserve">
if any addition to the fund has taken place the Formal document 'utilisation request' has this amount on it.</t>
        </r>
      </text>
    </comment>
    <comment ref="B695" authorId="0">
      <text>
        <r>
          <rPr>
            <b/>
            <sz val="8"/>
            <color indexed="81"/>
            <rFont val="Tahoma"/>
            <family val="2"/>
          </rPr>
          <t>plattc:</t>
        </r>
        <r>
          <rPr>
            <sz val="8"/>
            <color indexed="81"/>
            <rFont val="Tahoma"/>
            <family val="2"/>
          </rPr>
          <t xml:space="preserve">
trust waterfalls!B75</t>
        </r>
      </text>
    </comment>
    <comment ref="B696" authorId="0">
      <text>
        <r>
          <rPr>
            <b/>
            <sz val="8"/>
            <color indexed="81"/>
            <rFont val="Tahoma"/>
            <family val="2"/>
          </rPr>
          <t>plattc:</t>
        </r>
        <r>
          <rPr>
            <sz val="8"/>
            <color indexed="81"/>
            <rFont val="Tahoma"/>
            <family val="2"/>
          </rPr>
          <t xml:space="preserve">
trust waterfalls!B78</t>
        </r>
      </text>
    </comment>
    <comment ref="B697" authorId="0">
      <text>
        <r>
          <rPr>
            <b/>
            <sz val="8"/>
            <color indexed="81"/>
            <rFont val="Tahoma"/>
            <family val="2"/>
          </rPr>
          <t>plattc:</t>
        </r>
        <r>
          <rPr>
            <sz val="8"/>
            <color indexed="81"/>
            <rFont val="Tahoma"/>
            <family val="2"/>
          </rPr>
          <t xml:space="preserve">
Trust waterfalls!B79</t>
        </r>
      </text>
    </comment>
    <comment ref="C709" authorId="2">
      <text>
        <r>
          <rPr>
            <b/>
            <sz val="8"/>
            <color indexed="81"/>
            <rFont val="Tahoma"/>
            <family val="2"/>
          </rPr>
          <t>deenf:</t>
        </r>
        <r>
          <rPr>
            <sz val="8"/>
            <color indexed="81"/>
            <rFont val="Tahoma"/>
            <family val="2"/>
          </rPr>
          <t xml:space="preserve">
cell ref: B56 </t>
        </r>
      </text>
    </comment>
    <comment ref="C710" authorId="2">
      <text>
        <r>
          <rPr>
            <b/>
            <sz val="8"/>
            <color indexed="81"/>
            <rFont val="Tahoma"/>
            <family val="2"/>
          </rPr>
          <t>deenf:</t>
        </r>
        <r>
          <rPr>
            <sz val="8"/>
            <color indexed="81"/>
            <rFont val="Tahoma"/>
            <family val="2"/>
          </rPr>
          <t xml:space="preserve">
Cell ref:  B62</t>
        </r>
      </text>
    </comment>
    <comment ref="C711" authorId="2">
      <text>
        <r>
          <rPr>
            <b/>
            <sz val="8"/>
            <color indexed="81"/>
            <rFont val="Tahoma"/>
            <family val="2"/>
          </rPr>
          <t>deenf:</t>
        </r>
        <r>
          <rPr>
            <sz val="8"/>
            <color indexed="81"/>
            <rFont val="Tahoma"/>
            <family val="2"/>
          </rPr>
          <t xml:space="preserve">
trust waterfall Jan 
</t>
        </r>
      </text>
    </comment>
    <comment ref="C712" authorId="3">
      <text>
        <r>
          <rPr>
            <b/>
            <sz val="8"/>
            <color indexed="81"/>
            <rFont val="Tahoma"/>
            <family val="2"/>
          </rPr>
          <t>klidonam:</t>
        </r>
        <r>
          <rPr>
            <sz val="8"/>
            <color indexed="81"/>
            <rFont val="Tahoma"/>
            <family val="2"/>
          </rPr>
          <t xml:space="preserve">
See MRCLN section, top of Inputs Page in Trust Waterfalls workbook</t>
        </r>
      </text>
    </comment>
    <comment ref="D729" authorId="0">
      <text>
        <r>
          <rPr>
            <b/>
            <sz val="8"/>
            <color indexed="81"/>
            <rFont val="Tahoma"/>
            <family val="2"/>
          </rPr>
          <t>plattc:</t>
        </r>
        <r>
          <rPr>
            <sz val="8"/>
            <color indexed="81"/>
            <rFont val="Tahoma"/>
            <family val="2"/>
          </rPr>
          <t xml:space="preserve">
for 16 days  the value of the trust was 5.73 then we added (on th e6'th of June)  for the remaining 75 days of th e91 day period the balance was ~ 11</t>
        </r>
      </text>
    </comment>
    <comment ref="B735" authorId="3">
      <text>
        <r>
          <rPr>
            <b/>
            <sz val="8"/>
            <color indexed="81"/>
            <rFont val="Tahoma"/>
            <family val="2"/>
          </rPr>
          <t>klidonam:</t>
        </r>
        <r>
          <rPr>
            <sz val="8"/>
            <color indexed="81"/>
            <rFont val="Tahoma"/>
            <family val="2"/>
          </rPr>
          <t xml:space="preserve">
NOT FINAL</t>
        </r>
      </text>
    </comment>
  </commentList>
</comments>
</file>

<file path=xl/comments2.xml><?xml version="1.0" encoding="utf-8"?>
<comments xmlns="http://schemas.openxmlformats.org/spreadsheetml/2006/main">
  <authors>
    <author>plattc</author>
    <author>karsondd</author>
  </authors>
  <commentList>
    <comment ref="S1" authorId="0">
      <text>
        <r>
          <rPr>
            <b/>
            <sz val="8"/>
            <color indexed="81"/>
            <rFont val="Tahoma"/>
            <family val="2"/>
          </rPr>
          <t>plattc:</t>
        </r>
        <r>
          <rPr>
            <sz val="8"/>
            <color indexed="81"/>
            <rFont val="Tahoma"/>
            <family val="2"/>
          </rPr>
          <t xml:space="preserve">
Pg 164 prelim prospectus</t>
        </r>
      </text>
    </comment>
    <comment ref="AK1" authorId="0">
      <text>
        <r>
          <rPr>
            <b/>
            <sz val="8"/>
            <color indexed="81"/>
            <rFont val="Tahoma"/>
            <family val="2"/>
          </rPr>
          <t>plattc:</t>
        </r>
        <r>
          <rPr>
            <sz val="8"/>
            <color indexed="81"/>
            <rFont val="Tahoma"/>
            <family val="2"/>
          </rPr>
          <t xml:space="preserve">
Rewuired outstanding principal amount for each loan note tranch, immediately after each funding payment date</t>
        </r>
      </text>
    </comment>
    <comment ref="CY64" authorId="1">
      <text>
        <r>
          <rPr>
            <b/>
            <sz val="8"/>
            <color indexed="81"/>
            <rFont val="Tahoma"/>
            <family val="2"/>
          </rPr>
          <t>karsondd:</t>
        </r>
        <r>
          <rPr>
            <sz val="8"/>
            <color indexed="81"/>
            <rFont val="Tahoma"/>
            <family val="2"/>
          </rPr>
          <t xml:space="preserve">
Amended to Nov 11 Call Option
</t>
        </r>
      </text>
    </comment>
  </commentList>
</comments>
</file>

<file path=xl/comments3.xml><?xml version="1.0" encoding="utf-8"?>
<comments xmlns="http://schemas.openxmlformats.org/spreadsheetml/2006/main">
  <authors>
    <author>plattc</author>
    <author>karsondd</author>
  </authors>
  <commentList>
    <comment ref="B1" authorId="0">
      <text>
        <r>
          <rPr>
            <b/>
            <sz val="8"/>
            <color indexed="81"/>
            <rFont val="Tahoma"/>
            <family val="2"/>
          </rPr>
          <t>plattc:</t>
        </r>
        <r>
          <rPr>
            <sz val="8"/>
            <color indexed="81"/>
            <rFont val="Tahoma"/>
            <family val="2"/>
          </rPr>
          <t xml:space="preserve">
Controlled Amortisation schedule - set out in final terms for each tanche</t>
        </r>
      </text>
    </comment>
    <comment ref="AS1" authorId="0">
      <text>
        <r>
          <rPr>
            <b/>
            <sz val="8"/>
            <color indexed="81"/>
            <rFont val="Tahoma"/>
            <family val="2"/>
          </rPr>
          <t>plattc:</t>
        </r>
        <r>
          <rPr>
            <sz val="8"/>
            <color indexed="81"/>
            <rFont val="Tahoma"/>
            <family val="2"/>
          </rPr>
          <t xml:space="preserve">
What we actually paid - should be same or very close to controlled amort schedule</t>
        </r>
      </text>
    </comment>
    <comment ref="R3" authorId="0">
      <text>
        <r>
          <rPr>
            <b/>
            <sz val="8"/>
            <color indexed="81"/>
            <rFont val="Tahoma"/>
            <family val="2"/>
          </rPr>
          <t>plattc:</t>
        </r>
        <r>
          <rPr>
            <sz val="8"/>
            <color indexed="81"/>
            <rFont val="Tahoma"/>
            <family val="2"/>
          </rPr>
          <t xml:space="preserve">
total GBP at start of transaction</t>
        </r>
      </text>
    </comment>
    <comment ref="R5" authorId="0">
      <text>
        <r>
          <rPr>
            <b/>
            <sz val="8"/>
            <color indexed="81"/>
            <rFont val="Tahoma"/>
            <family val="2"/>
          </rPr>
          <t>plattc:</t>
        </r>
        <r>
          <rPr>
            <sz val="8"/>
            <color indexed="81"/>
            <rFont val="Tahoma"/>
            <family val="2"/>
          </rPr>
          <t xml:space="preserve">
Amortisation amount between start and May 21st</t>
        </r>
      </text>
    </comment>
    <comment ref="R10" authorId="0">
      <text>
        <r>
          <rPr>
            <b/>
            <sz val="8"/>
            <color indexed="81"/>
            <rFont val="Tahoma"/>
            <family val="2"/>
          </rPr>
          <t>plattc:</t>
        </r>
        <r>
          <rPr>
            <sz val="8"/>
            <color indexed="81"/>
            <rFont val="Tahoma"/>
            <family val="2"/>
          </rPr>
          <t xml:space="preserve">
total GBP currently outstanding - may21'st</t>
        </r>
      </text>
    </comment>
    <comment ref="R11" authorId="0">
      <text>
        <r>
          <rPr>
            <b/>
            <sz val="8"/>
            <color indexed="81"/>
            <rFont val="Tahoma"/>
            <family val="2"/>
          </rPr>
          <t>plattc:</t>
        </r>
        <r>
          <rPr>
            <sz val="8"/>
            <color indexed="81"/>
            <rFont val="Tahoma"/>
            <family val="2"/>
          </rPr>
          <t xml:space="preserve">
AA notes outstanding at may 21st
</t>
        </r>
      </text>
    </comment>
    <comment ref="R12" authorId="0">
      <text>
        <r>
          <rPr>
            <b/>
            <sz val="8"/>
            <color indexed="81"/>
            <rFont val="Tahoma"/>
            <family val="2"/>
          </rPr>
          <t>plattc:</t>
        </r>
        <r>
          <rPr>
            <sz val="8"/>
            <color indexed="81"/>
            <rFont val="Tahoma"/>
            <family val="2"/>
          </rPr>
          <t xml:space="preserve">
A notes outstandign at May21'st</t>
        </r>
      </text>
    </comment>
    <comment ref="R13" authorId="0">
      <text>
        <r>
          <rPr>
            <b/>
            <sz val="8"/>
            <color indexed="81"/>
            <rFont val="Tahoma"/>
            <family val="2"/>
          </rPr>
          <t>plattc:</t>
        </r>
        <r>
          <rPr>
            <sz val="8"/>
            <color indexed="81"/>
            <rFont val="Tahoma"/>
            <family val="2"/>
          </rPr>
          <t xml:space="preserve">
BBB notes outstanding at may 21'st
</t>
        </r>
      </text>
    </comment>
    <comment ref="R24" authorId="0">
      <text>
        <r>
          <rPr>
            <b/>
            <sz val="8"/>
            <color indexed="81"/>
            <rFont val="Tahoma"/>
            <family val="2"/>
          </rPr>
          <t>plattc:</t>
        </r>
        <r>
          <rPr>
            <sz val="8"/>
            <color indexed="81"/>
            <rFont val="Tahoma"/>
            <family val="2"/>
          </rPr>
          <t xml:space="preserve">
Aaa outstanding st may 21st</t>
        </r>
      </text>
    </comment>
    <comment ref="DA64" authorId="1">
      <text>
        <r>
          <rPr>
            <b/>
            <sz val="8"/>
            <color indexed="81"/>
            <rFont val="Tahoma"/>
            <family val="2"/>
          </rPr>
          <t>karsondd:</t>
        </r>
        <r>
          <rPr>
            <sz val="8"/>
            <color indexed="81"/>
            <rFont val="Tahoma"/>
            <family val="2"/>
          </rPr>
          <t xml:space="preserve">
Amended to Nov 11 Call option</t>
        </r>
      </text>
    </comment>
  </commentList>
</comments>
</file>

<file path=xl/comments4.xml><?xml version="1.0" encoding="utf-8"?>
<comments xmlns="http://schemas.openxmlformats.org/spreadsheetml/2006/main">
  <authors>
    <author>karsondd</author>
    <author>Karsondd</author>
  </authors>
  <commentList>
    <comment ref="L122" authorId="0">
      <text>
        <r>
          <rPr>
            <b/>
            <sz val="12"/>
            <color indexed="81"/>
            <rFont val="Tahoma"/>
            <family val="2"/>
          </rPr>
          <t>karsondd:</t>
        </r>
        <r>
          <rPr>
            <sz val="12"/>
            <color indexed="81"/>
            <rFont val="Tahoma"/>
            <family val="2"/>
          </rPr>
          <t xml:space="preserve">
Adjusted to take into account bonds called Feb 10</t>
        </r>
      </text>
    </comment>
    <comment ref="H149" authorId="1">
      <text>
        <r>
          <rPr>
            <b/>
            <sz val="8"/>
            <color indexed="81"/>
            <rFont val="Tahoma"/>
            <family val="2"/>
          </rPr>
          <t>Karsondd:</t>
        </r>
        <r>
          <rPr>
            <sz val="8"/>
            <color indexed="81"/>
            <rFont val="Tahoma"/>
            <family val="2"/>
          </rPr>
          <t xml:space="preserve">
Adjusted to take into account may 12 call
</t>
        </r>
      </text>
    </comment>
    <comment ref="L202" authorId="0">
      <text>
        <r>
          <rPr>
            <b/>
            <sz val="12"/>
            <color indexed="81"/>
            <rFont val="Tahoma"/>
            <family val="2"/>
          </rPr>
          <t>karsondd:</t>
        </r>
        <r>
          <rPr>
            <sz val="12"/>
            <color indexed="81"/>
            <rFont val="Tahoma"/>
            <family val="2"/>
          </rPr>
          <t xml:space="preserve">
Cells in green adjusted to take into account called bond Feb 10</t>
        </r>
      </text>
    </comment>
    <comment ref="H229" authorId="1">
      <text>
        <r>
          <rPr>
            <b/>
            <sz val="8"/>
            <color indexed="81"/>
            <rFont val="Tahoma"/>
            <family val="2"/>
          </rPr>
          <t>Karsondd:</t>
        </r>
        <r>
          <rPr>
            <sz val="8"/>
            <color indexed="81"/>
            <rFont val="Tahoma"/>
            <family val="2"/>
          </rPr>
          <t xml:space="preserve">
</t>
        </r>
        <r>
          <rPr>
            <sz val="10"/>
            <color indexed="81"/>
            <rFont val="Tahoma"/>
            <family val="2"/>
          </rPr>
          <t>Ameneded to account for May 12 Call option</t>
        </r>
      </text>
    </comment>
  </commentList>
</comments>
</file>

<file path=xl/comments5.xml><?xml version="1.0" encoding="utf-8"?>
<comments xmlns="http://schemas.openxmlformats.org/spreadsheetml/2006/main">
  <authors>
    <author>karsondd</author>
    <author>Karsondd</author>
    <author>plattc</author>
  </authors>
  <commentList>
    <comment ref="L121" authorId="0">
      <text>
        <r>
          <rPr>
            <b/>
            <sz val="12"/>
            <color indexed="81"/>
            <rFont val="Tahoma"/>
            <family val="2"/>
          </rPr>
          <t>karsondd:</t>
        </r>
        <r>
          <rPr>
            <sz val="12"/>
            <color indexed="81"/>
            <rFont val="Tahoma"/>
            <family val="2"/>
          </rPr>
          <t xml:space="preserve">
Adjusted to take into account bonds called Feb 10</t>
        </r>
      </text>
    </comment>
    <comment ref="H148" authorId="1">
      <text>
        <r>
          <rPr>
            <b/>
            <sz val="8"/>
            <color indexed="81"/>
            <rFont val="Tahoma"/>
            <family val="2"/>
          </rPr>
          <t>Karsondd:</t>
        </r>
        <r>
          <rPr>
            <sz val="8"/>
            <color indexed="81"/>
            <rFont val="Tahoma"/>
            <family val="2"/>
          </rPr>
          <t xml:space="preserve">
Adjusted to take into a/c may 12 call
</t>
        </r>
      </text>
    </comment>
    <comment ref="A170" authorId="2">
      <text>
        <r>
          <rPr>
            <b/>
            <sz val="8"/>
            <color indexed="81"/>
            <rFont val="Tahoma"/>
            <family val="2"/>
          </rPr>
          <t>plattc:</t>
        </r>
        <r>
          <rPr>
            <sz val="8"/>
            <color indexed="81"/>
            <rFont val="Tahoma"/>
            <family val="2"/>
          </rPr>
          <t xml:space="preserve">
need to be linked to the quarterly report!! Not done yet 1/08/07</t>
        </r>
      </text>
    </comment>
    <comment ref="L204" authorId="0">
      <text>
        <r>
          <rPr>
            <b/>
            <sz val="12"/>
            <color indexed="81"/>
            <rFont val="Tahoma"/>
            <family val="2"/>
          </rPr>
          <t>karsondd:</t>
        </r>
        <r>
          <rPr>
            <sz val="12"/>
            <color indexed="81"/>
            <rFont val="Tahoma"/>
            <family val="2"/>
          </rPr>
          <t xml:space="preserve">
Cell s in green adjusted to account for bond called Feb 10</t>
        </r>
        <r>
          <rPr>
            <sz val="8"/>
            <color indexed="81"/>
            <rFont val="Tahoma"/>
            <family val="2"/>
          </rPr>
          <t xml:space="preserve">
</t>
        </r>
      </text>
    </comment>
    <comment ref="H231" authorId="1">
      <text>
        <r>
          <rPr>
            <b/>
            <sz val="8"/>
            <color indexed="81"/>
            <rFont val="Tahoma"/>
            <family val="2"/>
          </rPr>
          <t>Karsondd:</t>
        </r>
        <r>
          <rPr>
            <sz val="8"/>
            <color indexed="81"/>
            <rFont val="Tahoma"/>
            <family val="2"/>
          </rPr>
          <t xml:space="preserve">
</t>
        </r>
        <r>
          <rPr>
            <sz val="10"/>
            <color indexed="81"/>
            <rFont val="Tahoma"/>
            <family val="2"/>
          </rPr>
          <t>Amended to account for May 12 Call option</t>
        </r>
      </text>
    </comment>
  </commentList>
</comments>
</file>

<file path=xl/comments6.xml><?xml version="1.0" encoding="utf-8"?>
<comments xmlns="http://schemas.openxmlformats.org/spreadsheetml/2006/main">
  <authors>
    <author>klidonam</author>
  </authors>
  <commentList>
    <comment ref="A1" authorId="0">
      <text>
        <r>
          <rPr>
            <b/>
            <sz val="8"/>
            <color indexed="81"/>
            <rFont val="Tahoma"/>
            <family val="2"/>
          </rPr>
          <t>klidonam:</t>
        </r>
        <r>
          <rPr>
            <sz val="8"/>
            <color indexed="81"/>
            <rFont val="Tahoma"/>
            <family val="2"/>
          </rPr>
          <t xml:space="preserve">
Insert Conditional Word Formating
</t>
        </r>
      </text>
    </comment>
    <comment ref="A17" authorId="0">
      <text>
        <r>
          <rPr>
            <b/>
            <sz val="8"/>
            <color indexed="81"/>
            <rFont val="Tahoma"/>
            <family val="2"/>
          </rPr>
          <t>klidonam:</t>
        </r>
        <r>
          <rPr>
            <sz val="8"/>
            <color indexed="81"/>
            <rFont val="Tahoma"/>
            <family val="2"/>
          </rPr>
          <t xml:space="preserve">
LOCK CELLS
</t>
        </r>
      </text>
    </comment>
  </commentList>
</comments>
</file>

<file path=xl/sharedStrings.xml><?xml version="1.0" encoding="utf-8"?>
<sst xmlns="http://schemas.openxmlformats.org/spreadsheetml/2006/main" count="3018" uniqueCount="1133">
  <si>
    <t>Total Principal due</t>
  </si>
  <si>
    <t>GMF 09-1</t>
  </si>
  <si>
    <t>The common funding reserve required amount will increase if an arrears or step-up trigger event occurs.</t>
  </si>
  <si>
    <t>Rating Requirements</t>
  </si>
  <si>
    <t>Account bank minimum ratings</t>
  </si>
  <si>
    <t>F1</t>
  </si>
  <si>
    <t>MRCLN collateral provision minimum rating</t>
  </si>
  <si>
    <t>Baa3</t>
  </si>
  <si>
    <t>Funding Liquidity Reserve Fund establishment trigger</t>
  </si>
  <si>
    <t>£</t>
  </si>
  <si>
    <t>A7</t>
  </si>
  <si>
    <t>A1</t>
  </si>
  <si>
    <t>A2</t>
  </si>
  <si>
    <t>A4</t>
  </si>
  <si>
    <t>A5</t>
  </si>
  <si>
    <t>A6</t>
  </si>
  <si>
    <t>B1</t>
  </si>
  <si>
    <t>B3</t>
  </si>
  <si>
    <t>B4</t>
  </si>
  <si>
    <t>C1</t>
  </si>
  <si>
    <t>C3</t>
  </si>
  <si>
    <t>C4</t>
  </si>
  <si>
    <t>D2</t>
  </si>
  <si>
    <t>for 12 days  the value of the trust was 6.969 then we added (on the on th e1st of September).  For the remaining 80 days of the 92 day period the balance was ~ 19.023</t>
  </si>
  <si>
    <t>GMF 09 Addition</t>
  </si>
  <si>
    <t xml:space="preserve">Supplementary Calculations </t>
  </si>
  <si>
    <t>D3</t>
  </si>
  <si>
    <t>D4</t>
  </si>
  <si>
    <t>Issuer Payment Date</t>
  </si>
  <si>
    <t xml:space="preserve">Change in the Common Funding Reserve balance: </t>
  </si>
  <si>
    <t>Short-Term</t>
  </si>
  <si>
    <t>Long-term</t>
  </si>
  <si>
    <t>A+</t>
  </si>
  <si>
    <t>Subsequent Downgrade Event</t>
  </si>
  <si>
    <t>P-2</t>
  </si>
  <si>
    <t>F2</t>
  </si>
  <si>
    <t>BBB+</t>
  </si>
  <si>
    <t>Second Subsequent Downgrade Event</t>
  </si>
  <si>
    <t>2015-4</t>
  </si>
  <si>
    <t xml:space="preserve">On 1st November 2010, Gracechurch Mortgage Financing PLC was subject to a restructure which saw all of the Series 2009-1 Notes redeemed (these Notes had been retained by Barclays). </t>
  </si>
  <si>
    <t>As a result of this restructure, the Seller Share has now increased to 46.45% and the most junior Notes (Class D) have increased credit enhancement of 12.40%.</t>
  </si>
  <si>
    <t>Excess Spread for the interest period*</t>
  </si>
  <si>
    <t>Funding 2 Share Percentage</t>
  </si>
  <si>
    <t>Seller Share</t>
  </si>
  <si>
    <t>Seller Share Percentage</t>
  </si>
  <si>
    <t>Minimum Seller Share (Amount)</t>
  </si>
  <si>
    <t>Minimum Seller Share (% of Trust Property)</t>
  </si>
  <si>
    <t>where:</t>
  </si>
  <si>
    <t>Mortgages Trust</t>
  </si>
  <si>
    <t>Mortgages Trustee Available Revenue Receipts</t>
  </si>
  <si>
    <t>Mortgage Loan Revenue Receipts</t>
  </si>
  <si>
    <t>MRCLN Revenue receipts</t>
  </si>
  <si>
    <t>Current Shortfall</t>
  </si>
  <si>
    <t>Mortgage Accounts added since mortgages trust establishment date</t>
  </si>
  <si>
    <t>Constant Payment Rate</t>
  </si>
  <si>
    <t>Trust Calculation Period</t>
  </si>
  <si>
    <t>Period</t>
  </si>
  <si>
    <t>Annualised</t>
  </si>
  <si>
    <t>CPR rate over the period including repurchases</t>
  </si>
  <si>
    <t>CPR rate over the period excluding repurchases</t>
  </si>
  <si>
    <r>
      <t>An "</t>
    </r>
    <r>
      <rPr>
        <b/>
        <sz val="10"/>
        <rFont val="Barclays Sans"/>
        <family val="2"/>
      </rPr>
      <t>asset trigger event</t>
    </r>
    <r>
      <rPr>
        <sz val="10"/>
        <rFont val="Barclays Sans"/>
        <family val="2"/>
      </rPr>
      <t>" occurs when amounts are debited to any class A funding principal deficiency sub-ledger.</t>
    </r>
  </si>
  <si>
    <t>No asset trigger event has occurred</t>
  </si>
  <si>
    <t>No non-asset trigger event has occurred</t>
  </si>
  <si>
    <t>East Anglia</t>
  </si>
  <si>
    <t>East Midlands</t>
  </si>
  <si>
    <t>Greater London</t>
  </si>
  <si>
    <t>North</t>
  </si>
  <si>
    <t>North West</t>
  </si>
  <si>
    <t>Northern Ireland</t>
  </si>
  <si>
    <t>South East</t>
  </si>
  <si>
    <t>South West</t>
  </si>
  <si>
    <t>Wales</t>
  </si>
  <si>
    <t>West Midlands</t>
  </si>
  <si>
    <t>Yorks And Humberside</t>
  </si>
  <si>
    <t>2018-3</t>
  </si>
  <si>
    <t>No values include outstanding reserves, if any.</t>
  </si>
  <si>
    <t>Z</t>
  </si>
  <si>
    <t xml:space="preserve">AA- </t>
  </si>
  <si>
    <t>0 - 1.99%</t>
  </si>
  <si>
    <t>2 - 2.99%</t>
  </si>
  <si>
    <t>3 - 3.99%</t>
  </si>
  <si>
    <t>2014-1</t>
  </si>
  <si>
    <t>Arrears</t>
  </si>
  <si>
    <t>From time to time, based upon specific individual circumstances, the seller may capitalise any outstanding amounts in arrears. In those circumstances, the seller will set the arrears tracking balance to zero and the related mortgage loan will no longer be considered to be in arrears. The outstanding balance on the mortgage loan will be required to be repaid over the remaining term of such mortgage loan.</t>
  </si>
  <si>
    <t>Sales This Month</t>
  </si>
  <si>
    <t>Number of Mortgage Accounts</t>
  </si>
  <si>
    <t>Aggregate Mortgage Account Balance</t>
  </si>
  <si>
    <t>Aggregate Mortgage Loan Balance</t>
  </si>
  <si>
    <t>Class B</t>
  </si>
  <si>
    <t>Barclays PLC</t>
  </si>
  <si>
    <t>Actual Amortisation</t>
  </si>
  <si>
    <t>Total  paid</t>
  </si>
  <si>
    <t>Original loan to value ratio</t>
  </si>
  <si>
    <t>Original LTV (%)</t>
  </si>
  <si>
    <t>Current indexed loan to value ratio</t>
  </si>
  <si>
    <t>£100,000 - £150,000</t>
  </si>
  <si>
    <t>BBB</t>
  </si>
  <si>
    <t>Stuart Aiken, Barclays Treasury,
e-mail: stuart.aiken@barclaystreasury.com
tel:+44 (0)20 777 35584</t>
  </si>
  <si>
    <r>
      <t xml:space="preserve">The Issuer Available Revenue Receipts, Pre-Security Enforcement Revenue Priority of Payments and Issuer Available Principal Receipts do not include USD or EUR amounts </t>
    </r>
    <r>
      <rPr>
        <i/>
        <u/>
        <sz val="10"/>
        <rFont val="Barclays Sans"/>
        <family val="2"/>
      </rPr>
      <t>received</t>
    </r>
    <r>
      <rPr>
        <i/>
        <sz val="10"/>
        <rFont val="Barclays Sans"/>
        <family val="2"/>
      </rPr>
      <t xml:space="preserve"> by the swap counterparty and/or payable to the USD or EUR noteholders. The Issuer Pre-Security Enforcmenent  Revenue Priority of Payments does however instead include GBP equivalent payments due to the cross-currency swap counterparty in respect of USD and EUR notes' interest amounts due.</t>
    </r>
  </si>
  <si>
    <t>Original Principal Amount (£ eq.)</t>
  </si>
  <si>
    <t>Bond Amortisation (£ eq.)</t>
  </si>
  <si>
    <t>Principal Amount to be called (£ eq.)</t>
  </si>
  <si>
    <t xml:space="preserve">Amount </t>
  </si>
  <si>
    <t xml:space="preserve">From </t>
  </si>
  <si>
    <t xml:space="preserve">Account </t>
  </si>
  <si>
    <t xml:space="preserve">To </t>
  </si>
  <si>
    <t xml:space="preserve">GBP PAYMENT TO BONY </t>
  </si>
  <si>
    <t>Arrears Capitalisation</t>
  </si>
  <si>
    <t>Constant Payment Rate (CPR)</t>
  </si>
  <si>
    <t>The mortgage account balance of a mortgage account as at the cut-off date divided by the value of the mortgaged property securing that mortgage account at the same date. The seller has not revalued any of the mortgaged properties since the date of the origination of the related mortgage account, other than in respect of a mortgaged property of a related borrower that has remortgaged its property or to which the seller has made a further advance, as described in the base prospectus under "The Mortgage Assets – overpayments, unauthorised underpayment and further advances on mortgage loans".</t>
  </si>
  <si>
    <t>Current Loan to Value (LTV)</t>
  </si>
  <si>
    <t>The mortgage account balance of a mortgage account as of the cut-off date divided by the indexed value of the mortgaged property securing that mortgage account as of the same date(calculated using the HalifaxHouse Price Index).</t>
  </si>
  <si>
    <t>Indexed Valuation</t>
  </si>
  <si>
    <t>At any date in relation to any Mortgage Account secured over any Property:
(a) where the Latest Valuation of that Property is equal to or greater than the Halifax Price Indexed Valuation as at that date, the Halifax Price Indexed Valuation; or
(b) where the Latest Valuation of that Property is less than the Halifax Price Indexed Valuation as at that date, the Latest Valuation plus 85 per cent. of the difference between the Latest Valuation and the Halifax Price Indexed Valuation;</t>
  </si>
  <si>
    <t xml:space="preserve">iii) Barclays role as administrator is terminated and no new administrator is appointed ; and/or    </t>
  </si>
  <si>
    <t xml:space="preserve">ii) An MRCLN event of default occured which is continuing and not waived by the mortgages trustee; and/or     </t>
  </si>
  <si>
    <t xml:space="preserve">iv) the current seller share is equal to or less than the minimum seller share for two consecutive distribution dates     </t>
  </si>
  <si>
    <t xml:space="preserve">i) an insolvency event occurs in relation to Barclays; and/or      </t>
  </si>
  <si>
    <t xml:space="preserve">Principal Amount Outstanding as at the end of Interest Period less Target Balance/ (Cumulative Principal Shortfall)    </t>
  </si>
  <si>
    <t xml:space="preserve">Principal Amount Outstanding as at the end of Interest Period less Target Balance/ (Cumulative Principal Shortfall)     </t>
  </si>
  <si>
    <t xml:space="preserve">Principal Amount Outstanding as at the end of Interest Period less Target Balance/ (Cumulative Principal Shortfall)        </t>
  </si>
  <si>
    <t xml:space="preserve">The available subordinated amount for each class is calculated, on any date, as the sum of (a) the aggregate outstanding principal amount of all junior loan note tranches         </t>
  </si>
  <si>
    <t>Excess Spread</t>
  </si>
  <si>
    <t>INVESTORS QUARTERLY REPORT</t>
  </si>
  <si>
    <t>GRACECHURCH MORTGAGE FINANCING PLC</t>
  </si>
  <si>
    <t>Interest Period Start</t>
  </si>
  <si>
    <t>Interest Period Ended</t>
  </si>
  <si>
    <t xml:space="preserve">Interest received on the Mortgage Trustee Transaction Account 
    </t>
  </si>
  <si>
    <t>and Interest received on the Mortgage Trustee GIC Account</t>
  </si>
  <si>
    <t xml:space="preserve">less Third Party Amounts </t>
  </si>
  <si>
    <t>Mortgages Trust Pre-Enforcement Revenue Priority of Payments</t>
  </si>
  <si>
    <t>MRCLN collateral release amount</t>
  </si>
  <si>
    <t>Transaction party expenses</t>
  </si>
  <si>
    <t>Revenue Receipts to Seller</t>
  </si>
  <si>
    <t>Revenue Receipts to Funding</t>
  </si>
  <si>
    <t>Accounts of more than 90 days in arrears</t>
  </si>
  <si>
    <r>
      <t>An ‘‘</t>
    </r>
    <r>
      <rPr>
        <b/>
        <sz val="10"/>
        <rFont val="Barclays Sans"/>
        <family val="2"/>
      </rPr>
      <t>early redemption event</t>
    </r>
    <r>
      <rPr>
        <sz val="10"/>
        <rFont val="Barclays Sans"/>
        <family val="2"/>
      </rPr>
      <t>’’ means the occurrence of a trigger event and, with respect to a loan
note tranche, any other event specified as such in the supplement to global loan note no.1 for such
loan note tranche.</t>
    </r>
  </si>
  <si>
    <t>No early redemption event has occurred</t>
  </si>
  <si>
    <t>Total</t>
  </si>
  <si>
    <t>Properties Taken In Possession Since Trust Establishment</t>
  </si>
  <si>
    <t>Properties In Possession COB Last Month</t>
  </si>
  <si>
    <t>Properties Taken In Possession This Month</t>
  </si>
  <si>
    <t>Properties Sold Since Trust Establishment</t>
  </si>
  <si>
    <t>Properties Sold This Month</t>
  </si>
  <si>
    <t>Average Time Of Sale</t>
  </si>
  <si>
    <t>Shortfalls On Sale This Month</t>
  </si>
  <si>
    <t>Mortgage Account Volume</t>
  </si>
  <si>
    <t>Mortgage Account Value</t>
  </si>
  <si>
    <t>Litigation is defined as any mortgage account that has had legal proceedings enacted upto and including repossession, either forced or voluntary</t>
  </si>
  <si>
    <t xml:space="preserve"> £0 - £50,000</t>
  </si>
  <si>
    <t>Where a mortgage account has left the trust, the values specified in 'Since Trust Establishment' is the balance when the account was last seen in the trust</t>
  </si>
  <si>
    <t xml:space="preserve">REPORT DATE: </t>
  </si>
  <si>
    <t>Bedell Trustees Limited</t>
  </si>
  <si>
    <r>
      <t>An ‘‘</t>
    </r>
    <r>
      <rPr>
        <b/>
        <sz val="10"/>
        <rFont val="Barclays Sans"/>
        <family val="2"/>
      </rPr>
      <t>arrears or step-up trigger event</t>
    </r>
    <r>
      <rPr>
        <sz val="10"/>
        <rFont val="Barclays Sans"/>
        <family val="2"/>
      </rPr>
      <t>’’ occurs when the aggregate current balance of the mortgage accounts where the corresponding loans are then in arrears for at least 3 months exceeds more than 2% of the aggregate current balance of all mortgage accounts in the mortgages trust.</t>
    </r>
  </si>
  <si>
    <t>There are no material legal proceedings against any of the Gracechurch Mortgage Financing entities or the Mortgages Trustee.</t>
  </si>
  <si>
    <t>Gracechurch GMF MT share trustee, Gracechurch GMF IB share trustee</t>
  </si>
  <si>
    <t>Bedell UK Limited</t>
  </si>
  <si>
    <t>Funding Corporate Services Provider</t>
  </si>
  <si>
    <t>Securitisations Manager:
jayne.mclernon@barclays.com, and
Ross.aucutt@barclaysgt.com</t>
  </si>
  <si>
    <t>The Bank of New York
FAO Corporate Trust Services/Global Structured Finance
ilanbass@bankofny.com
helenkim@bankofny.com</t>
  </si>
  <si>
    <t>i)Interest rate</t>
  </si>
  <si>
    <t>ii)Interest amount</t>
  </si>
  <si>
    <t>iii)Deferred Interest (if any)</t>
  </si>
  <si>
    <t>iv)Additional Interest (if any)</t>
  </si>
  <si>
    <t>Interest Notifications (Base Prospectus)</t>
  </si>
  <si>
    <t>Paying Agent/ Agent Bank</t>
  </si>
  <si>
    <t>issuerimplementation@londonstockexchange.com</t>
  </si>
  <si>
    <t>Issuer Cash Management Agrmt</t>
  </si>
  <si>
    <t>Mortgages Trustee Cash Manager/
 Issuer Cash Manager</t>
  </si>
  <si>
    <t>INTERNAL NOTIFICATIONS</t>
  </si>
  <si>
    <t>Days In Interest Period</t>
  </si>
  <si>
    <t>Next Issuer Interest Payment Date</t>
  </si>
  <si>
    <t xml:space="preserve">20th Quarterly </t>
  </si>
  <si>
    <t>Seller, Administrator, Mortgages Trust Cash Manager, Funding Cash Manager, Issuer Cash Manager, Issuer Account Bank, Funding Account Bank, Mortgages Trustee Account Bank, Senior Expenses Loan Facility Provider,  Junior Expenses Loan Facility Provider, Yield Supplement Loan Facility Provider, Basis Rate Swap Provider, Issuer Swap Provider</t>
  </si>
  <si>
    <t>Min</t>
  </si>
  <si>
    <t>Max</t>
  </si>
  <si>
    <t>Weighted Average</t>
  </si>
  <si>
    <t>Arrears (Payments Down)</t>
  </si>
  <si>
    <t>Current Drawable LTV</t>
  </si>
  <si>
    <t>Current Indexed LTV</t>
  </si>
  <si>
    <t>Current LTV</t>
  </si>
  <si>
    <t>Current Principal Balance</t>
  </si>
  <si>
    <t>Remaining Term (Years)*</t>
  </si>
  <si>
    <t>Seasoning (Months)</t>
  </si>
  <si>
    <t xml:space="preserve">Key pool statistics </t>
  </si>
  <si>
    <t>Mortgages Trustee Available Principal Receipts</t>
  </si>
  <si>
    <t>Mortgage Loan Principal Receipts</t>
  </si>
  <si>
    <t>Previous period retained principal receipts</t>
  </si>
  <si>
    <t>Further Contributions</t>
  </si>
  <si>
    <t xml:space="preserve">Distribution of Mortgages Trust Principal Receipts </t>
  </si>
  <si>
    <t>Special distribution to Seller</t>
  </si>
  <si>
    <t>Special distribution to Funding</t>
  </si>
  <si>
    <t>Principal due to Funding</t>
  </si>
  <si>
    <t>Principal due to Funding No.2</t>
  </si>
  <si>
    <t xml:space="preserve">Remaining principal due to Funding  </t>
  </si>
  <si>
    <t>Remaining principal due to Funding (No.2)</t>
  </si>
  <si>
    <t>To seller down to minimum seller share</t>
  </si>
  <si>
    <t>Retained principal amounts</t>
  </si>
  <si>
    <t>Basis Rate Swap</t>
  </si>
  <si>
    <t>GBP Pays</t>
  </si>
  <si>
    <t xml:space="preserve">    -Interest Basis</t>
  </si>
  <si>
    <t>Funding Share Notional (£)</t>
  </si>
  <si>
    <t xml:space="preserve">Issue Date </t>
  </si>
  <si>
    <t xml:space="preserve">Bond Structure </t>
  </si>
  <si>
    <t xml:space="preserve">FX Rate </t>
  </si>
  <si>
    <t>GLOSSARY</t>
  </si>
  <si>
    <t xml:space="preserve">USD PAYMENT TO BONY </t>
  </si>
  <si>
    <t xml:space="preserve">EUR PAYMENT TO BONY </t>
  </si>
  <si>
    <t>Account Name: The Bank of New York, Brussels
Deutsche Bank, Frankfurt
Account Number: 922 1292 00
Swift: DEUTDEFF
Ref: CT/Lburman - Re GMF 07-1 Euro amounts due</t>
  </si>
  <si>
    <t>Sales with Shortfalls On Sale Since Trust Establishment</t>
  </si>
  <si>
    <t>2013-4</t>
  </si>
  <si>
    <t>2018-4</t>
  </si>
  <si>
    <t>Value Recovered</t>
  </si>
  <si>
    <t>Recoveries After Sale</t>
  </si>
  <si>
    <t>Aa3</t>
  </si>
  <si>
    <t>F3</t>
  </si>
  <si>
    <t>No basis or cross-currency swap downgrade events have occurred</t>
  </si>
  <si>
    <t>Current Balance -Mortgage Loans</t>
  </si>
  <si>
    <t>Current Balance - MRCLN</t>
  </si>
  <si>
    <t>Funding share</t>
  </si>
  <si>
    <t>Funding 2 share</t>
  </si>
  <si>
    <t>Funding and Funding 2 share</t>
  </si>
  <si>
    <t>2011-3</t>
  </si>
  <si>
    <t>2011-4</t>
  </si>
  <si>
    <t>2012-1</t>
  </si>
  <si>
    <t>2012-2</t>
  </si>
  <si>
    <t>2014-3</t>
  </si>
  <si>
    <t>2015-3</t>
  </si>
  <si>
    <t>2016-1</t>
  </si>
  <si>
    <t>2016-2</t>
  </si>
  <si>
    <t>2016-3</t>
  </si>
  <si>
    <t>2016-4</t>
  </si>
  <si>
    <t>2017-1</t>
  </si>
  <si>
    <t>2017-2</t>
  </si>
  <si>
    <t>Repayment terms</t>
  </si>
  <si>
    <t>Test on pool before additions</t>
  </si>
  <si>
    <t>Maximum Loans Balance transferred</t>
  </si>
  <si>
    <t>Loan Balance transferred</t>
  </si>
  <si>
    <t>2023</t>
  </si>
  <si>
    <t>2024</t>
  </si>
  <si>
    <t>2025</t>
  </si>
  <si>
    <t>2026</t>
  </si>
  <si>
    <t>2027</t>
  </si>
  <si>
    <t>2028</t>
  </si>
  <si>
    <t>2029</t>
  </si>
  <si>
    <t>2030</t>
  </si>
  <si>
    <t>2031</t>
  </si>
  <si>
    <t>2032</t>
  </si>
  <si>
    <t>2033</t>
  </si>
  <si>
    <t>2034</t>
  </si>
  <si>
    <t>2035</t>
  </si>
  <si>
    <t>2036</t>
  </si>
  <si>
    <t>2037</t>
  </si>
  <si>
    <t>2038</t>
  </si>
  <si>
    <t>2039</t>
  </si>
  <si>
    <t>2040</t>
  </si>
  <si>
    <t>2041</t>
  </si>
  <si>
    <t>00 - 02.99</t>
  </si>
  <si>
    <t>03 - 04.99</t>
  </si>
  <si>
    <t>05 - 06.99</t>
  </si>
  <si>
    <t>07 - 08.99</t>
  </si>
  <si>
    <t>09 - 10.99</t>
  </si>
  <si>
    <t>11 - 12.99</t>
  </si>
  <si>
    <t>13 - 14.99</t>
  </si>
  <si>
    <t>15 - 16.99</t>
  </si>
  <si>
    <t>17 - 18.99</t>
  </si>
  <si>
    <t>19 - 20.99</t>
  </si>
  <si>
    <t>21 - 22.99</t>
  </si>
  <si>
    <t>23 - 24.99</t>
  </si>
  <si>
    <t>h) common funding reserve fund and segregated funding reserve fund fully  funded on the relevant assignment date</t>
  </si>
  <si>
    <t>Notifications prior to IPD only</t>
  </si>
  <si>
    <t>Notifications post IPD and Quarterly Report</t>
  </si>
  <si>
    <t xml:space="preserve">Funding may only issue a new loan note tranche, or increase the outstanding principal amount of an existing loan note tranche, if the following conditions (together, the "issuance tests") are satisfied:                                                                                                                                                                                                                                                                                     • Increase in common funding reserve required amount                                                                                                                                                                                                        • Class A required subordination                                                                                                                                                                                                                                                       • Class B required subordination                                                                                                                                                                                                                                                     </t>
  </si>
  <si>
    <t xml:space="preserve">• Class C required subordination                                                                                                                                                                                                                                                           • Class D required subordination                                                                                                                                                                                                                                                    </t>
  </si>
  <si>
    <t xml:space="preserve">• Class E required subordination                                                                                                                                                                                                                                                     • Class F required subordination                                                                                                                                                                                                                                                     • No debit balance on the funding principal deficiency ledger                                                                                                                                                                                                           • No loan note tranche enforcement notice has been served                                                                                                                                                                                                              • No loan note event of default has occurred                                                                                                                                                                                                         </t>
  </si>
  <si>
    <t>(Base Prospectus Pg 239)</t>
  </si>
  <si>
    <t>(See Base Prospectus pg 239-243 for more detail)</t>
  </si>
  <si>
    <t>Interest received on the Mortgage Trustee GIC Account</t>
  </si>
  <si>
    <t>Principal Prepayment Rate (PPR)</t>
  </si>
  <si>
    <t>Account In Litigation COB Last Month</t>
  </si>
  <si>
    <t>CPR rate (Excluding repurchases)</t>
  </si>
  <si>
    <t>CPR rate (Including repurchases)</t>
  </si>
  <si>
    <t>Barclays Treasury, 1 Churchill Place, London, E14 5HP</t>
  </si>
  <si>
    <t xml:space="preserve">Stuart Aiken                                                                                                                                                                                                                                                     
</t>
  </si>
  <si>
    <t>Tel:+44 (0)20 777 35584</t>
  </si>
  <si>
    <t>E-mail: Stuart.Aiken@Barclaystreasury.Com</t>
  </si>
  <si>
    <t>Coresponding website links</t>
  </si>
  <si>
    <t>Nature of Test</t>
  </si>
  <si>
    <t>Description of Test</t>
  </si>
  <si>
    <t>Consequence of Test</t>
  </si>
  <si>
    <t>(b) the aggregate arrears of interest in respect of all the mortgage accounts in the mortgages trust as a percentage of the aggregate gross interest due on all mortgage accounts during the succeeding 12 months does not exceed 2 per cent</t>
  </si>
  <si>
    <t>This Report and any notes are a summary of certain information relating to the Notes. Whilst every effort has been taken to ensure that the Report is accurate and complete as at the date it is issued, no representation can be made that the data contained in this Report is accurate and complete and no liability is accepted. 
This Report is for information purposes only and is not intended as an offer or invitation with respect to the purchase or sale of securities. Please refer to the issue documentation for the Notes for further information on the Notes and their structure. You should not rely on the information in this Report when making any decision whether to buy, hold or sell securities.</t>
  </si>
  <si>
    <t>Main Parties</t>
  </si>
  <si>
    <t xml:space="preserve">A+ or above </t>
  </si>
  <si>
    <t>A, if at such time the account has a short-term rating of at least A-1 or A+ if ceases to have a short-term rating of at least A-1</t>
  </si>
  <si>
    <t xml:space="preserve">The consequences of breach include:
• closing the existing accounts; 
• opening a new similar account that has the requisite ratings and transferring the balance of the existing accounts; 
• obtaining an unlimited  guarantee from a satisfactorily rated financial institution; or
• such other action as would not adversely affect the then current ratings of the notes.  
</t>
  </si>
  <si>
    <t>NO</t>
  </si>
  <si>
    <t>Funding account bank</t>
  </si>
  <si>
    <t>Mortgage trustee account bank</t>
  </si>
  <si>
    <t>BBB, if at such time the account has a short-term rating of at least A-2 or BBB+ if ceases to have a short-term rating of at least A-2</t>
  </si>
  <si>
    <t>Rating Triggers (Base Prospectus Pg 107-110)</t>
  </si>
  <si>
    <t xml:space="preserve">The consequences of breach include:
• funding will notify Fitch of the establishment of the funding liquidity reserve fund; and
•  funding will be required to establish the funding liquidity reserve fund.
</t>
  </si>
  <si>
    <t>Administrator</t>
  </si>
  <si>
    <t>A back-up servicer facilitator will be appointed pursuant to the mortgages trustee corporate services agreement and the back-up servicer facilitator will be responsible for finding and appointing a back-up administrator.</t>
  </si>
  <si>
    <t xml:space="preserve">NO </t>
  </si>
  <si>
    <t>Basis rate swap provider</t>
  </si>
  <si>
    <t>The basis rate swap provider (or its respective guarantor, as applicable) is or are, downgraded by a relevant rating agency below the required ratings specified in the basis rate swap agreement, and, where applicable, as a result of such downgrade, the then current ratings of any then existing notes to be issued by a loan note tranche holder would be adversely affected.</t>
  </si>
  <si>
    <t xml:space="preserve">The consequences of breach under the basis swap agreement include:
•  posting additional collateral; 
•  arranging obligations to be transferred to a replacement basis rate swap provider; 
•  procuring another entity with the ratings required by the relevant rating agency; 
•  taking such other actions as the basis rate swap provider may agree with the relevant rating agency; or
• termination of the basis rate swap agreement (if the steps above are not taken). 
</t>
  </si>
  <si>
    <t>Issuer swap provider</t>
  </si>
  <si>
    <t>The ratings of the relevant issuer swap provider or its credit support provider, as applicable, is or are downgraded by a relevant rating agency below the required ratings specified in the relevant issuer swap agreement.</t>
  </si>
  <si>
    <t xml:space="preserve">The consequences of breach under the issuer swap agreement include:
•  posting additional collateral; 
•  arranging obligations to be transferred to a replacement issuer swap provider; 
•  procuring another entity with the ratings required by the relevant rating agency; 
•  taking such other actions as the issuer swap provider may agree with the relevant rating agency; or
•  termination of the issuer swap agreement (if the steps above are not taken). 
</t>
  </si>
  <si>
    <t xml:space="preserve">Collection account bank </t>
  </si>
  <si>
    <t>Long term</t>
  </si>
  <si>
    <t>A-2</t>
  </si>
  <si>
    <t xml:space="preserve">Short Term </t>
  </si>
  <si>
    <t>BBB (if at such time, the account bank has a short-term rating of at least A-2 ) or BBB+ (if at such time, account bank ceases short term rating of at least A-2)</t>
  </si>
  <si>
    <t xml:space="preserve">The consequences of breach include:
•  finding a suitably rated replacement collection account bank; 
•  obtaining an unlimited guarantee of the collection account bank's obligations from a satisfactorily rated financial institution; or 
•  taking other remedial measures, provided that such measures will not adversely affect the then current ratings of the notes. </t>
  </si>
  <si>
    <t>Non Rating Triggers (Base Prospectus Pg 111-112)</t>
  </si>
  <si>
    <t>Nature of Trigger</t>
  </si>
  <si>
    <t>Description of Trigger</t>
  </si>
  <si>
    <t>Consequence of Trigger</t>
  </si>
  <si>
    <t xml:space="preserve">Breached </t>
  </si>
  <si>
    <r>
      <t>Non Asset Trigger Events -</t>
    </r>
    <r>
      <rPr>
        <sz val="10"/>
        <rFont val="Barclays Sans"/>
        <family val="2"/>
      </rPr>
      <t xml:space="preserve">relate primarily (but not exclusively) to events associated with the seller/administrator. </t>
    </r>
  </si>
  <si>
    <t>Insolvency</t>
  </si>
  <si>
    <t>Substitution of administrator</t>
  </si>
  <si>
    <t>Breach of minimum seller share</t>
  </si>
  <si>
    <t>An insolvency event occurs in relation to Barclays</t>
  </si>
  <si>
    <t>Barclays role as administrator is terminated and a new administrator is not appointed in accordance with the terms of the administration agreement within 60 days</t>
  </si>
  <si>
    <t>Current Remaining Term</t>
  </si>
  <si>
    <t>Indexed LTV</t>
  </si>
  <si>
    <t>Maturity Year</t>
  </si>
  <si>
    <t>PPR rate (Unscheduled payments and repurchases only)</t>
  </si>
  <si>
    <t>Period (%)</t>
  </si>
  <si>
    <t>Annualised (%)</t>
  </si>
  <si>
    <t>3-month Average</t>
  </si>
  <si>
    <t>Trust Reporting Period</t>
  </si>
  <si>
    <t>Constant Payment and Prepayment Rates</t>
  </si>
  <si>
    <t>Repurchases as per calc</t>
  </si>
  <si>
    <t>The seller will be obliged to give notice of the transfer of the equitable and beneficial interest in the mortgage loans to the borrowers but will not be required to complete any other steps necessary to perfect legal title to the mortgage loans in favour of the mortgages trustee.</t>
  </si>
  <si>
    <t>There are two forms of trigger events: (i) an asset trigger event and (ii) a non-asset trigger event.  Following the occurrence of a trigger event, the priority of payments in respect of the Mortgages Trustee for principal will change.  Please see "The Mortgages Trust" in the base prospectus for further details.</t>
  </si>
  <si>
    <t>Series 2011-1</t>
  </si>
  <si>
    <t>3A</t>
  </si>
  <si>
    <t>2Z</t>
  </si>
  <si>
    <t>3Z</t>
  </si>
  <si>
    <t>US38406CAT09</t>
  </si>
  <si>
    <t>XS0706688404</t>
  </si>
  <si>
    <t>XS0704773943</t>
  </si>
  <si>
    <t>070475260</t>
  </si>
  <si>
    <t>070668840</t>
  </si>
  <si>
    <t>070477394</t>
  </si>
  <si>
    <t>Class Z</t>
  </si>
  <si>
    <r>
      <t xml:space="preserve">(ii) the funding reserve requirement                </t>
    </r>
    <r>
      <rPr>
        <sz val="10"/>
        <rFont val="Barclays Sans"/>
        <family val="2"/>
      </rPr>
      <t xml:space="preserve">                                                                                                                                                                                                                                   The "funding reserve requirement" is satisfied on a funding payment date if after taking account of the application of any funding available revenue receipts to the credit of the common funding reserve ledger, the amount of funds in the common funding reserve fund is equal to the common funding reserve required amount.</t>
    </r>
  </si>
  <si>
    <t xml:space="preserve">    (I) Mortgage Account WAFF after new account addition</t>
  </si>
  <si>
    <t>Potential Loss post-addition (I  times II)</t>
  </si>
  <si>
    <t>k) Potential Loss test</t>
  </si>
  <si>
    <t>CROSS CURRENCY SWAP TERMS:</t>
  </si>
  <si>
    <t xml:space="preserve">Payment Frequency </t>
  </si>
  <si>
    <t>Interest Basis</t>
  </si>
  <si>
    <t>Interest Receipts</t>
  </si>
  <si>
    <t>Principal Receipts</t>
  </si>
  <si>
    <t>Principal Amount Outstanding at the beginning 
of the Interest Period (GBP Equivalent)</t>
  </si>
  <si>
    <t xml:space="preserve">Principal Amount Outstanding at the beginning 
of the Interest Period </t>
  </si>
  <si>
    <t>The ‘‘monthly CPR’’ means, on any trust determination date, the sum of the aggregate amount of mortgages trust principal receipts received by the mortgages trustee during the immediately preceding trust calculation period less the aggregate mortgage reserve debt principal balancing amount for such trust calculation period (as defined in the Base Prospectus), divided by the sum of the aggregate outstanding principal balance of the mortgage loans included in the mortgage loan portfolio as at the immediately preceding trust determination date and the outstanding principal balance of the MRCLN as at the immediately preceding trust determination date.</t>
  </si>
  <si>
    <t>Analysis of Transaction Triggers, Restrictions and Tests</t>
  </si>
  <si>
    <t>Analysis of Outstanding Notes</t>
  </si>
  <si>
    <t>2006-1 A1 (USD)</t>
  </si>
  <si>
    <t>2006-1 A2 (EUR)</t>
  </si>
  <si>
    <t>2006-1 A3 (STG)</t>
  </si>
  <si>
    <t>Class C</t>
  </si>
  <si>
    <t>Class D</t>
  </si>
  <si>
    <t>The excess spread is calculated as the difference between i) Funding Available Revenue Receipts and ii)the sum of items a) through and including  r) (Common Funding Reserve Ledger replenishment) of the Funding Pre-enforecement Revenue Priority of Payments</t>
  </si>
  <si>
    <t>Funding Interest Period</t>
  </si>
  <si>
    <t>Issuer Interest Period</t>
  </si>
  <si>
    <t>Junior Payments</t>
  </si>
  <si>
    <t>Subordination Calculation</t>
  </si>
  <si>
    <t>Available subordination percentage</t>
  </si>
  <si>
    <t xml:space="preserve">3 month USD Libor </t>
  </si>
  <si>
    <t>Bank: Federal Reserve Bank Of New York
ABA No.: 026-0025-74
A/C: Barclays Bank Plc, New York
Favor: Barclays Swaps &amp; Options Group, New York
A/C No.: 050-01922-8</t>
  </si>
  <si>
    <t>Barclays Bank plc - Treasury</t>
  </si>
  <si>
    <t>Aucutt, Ross: Barclays Treasury (LDN);
Data Center, lewtan; 
GH Peters, bloomberg; 
Helen Kim, BONY; 
Ideiacouo, bloomberg; 
Ilan Bass, BONY; 
Jayne Mclernon, HF; 
Jean Walsh, bedell; 
Joanna Kyritsi, S&amp;P; 
John Ventress, Bedell; 
Kilday, Steven, Barclays PLC; 
Monitor RMBS, Moodys; 
Rebecca Bates, Bedell; 
Sean Hannigan, S&amp;P; 
SF Surveillance, Fitch; 
Vishal Patel, HF</t>
  </si>
  <si>
    <t>Jean.Walsh@bedellgroup.com
Rebecca.Bates@bedellgroup.com
jayne.mclernon@barclays.com, and
Ross.aucutt@barclaysgt.com
vishal.patel@barclays.com
John.Ventress@bedellgroup.com
ilanbass@bankofny.com
helenkim@bankofny.com
Monitor.RMBS@moodys.com
ioanna-victoria_kyritsi@standardandpoors.com
Sean_Hannigan@standardandpoors.com
sf_surveillance@fitchratings.com
ldeiacouo@bloomberg.net
ghpeters@bloomberg.net
datacenter@lewtan.com</t>
  </si>
  <si>
    <t>Issuer</t>
  </si>
  <si>
    <t>MT available revenue receipts distributed to funding</t>
  </si>
  <si>
    <t>Funding Security Trustee</t>
  </si>
  <si>
    <t>Issuer Security Trustee</t>
  </si>
  <si>
    <t>FAO Structured Finance Group
'Monitor.RMBS@moodys.com'</t>
  </si>
  <si>
    <t>Issuer Corporate Services Provider</t>
  </si>
  <si>
    <t>Pre-Security Enforcement Revenue Priority of Payments</t>
  </si>
  <si>
    <t>Notify below by 2 business days before payment date:</t>
  </si>
  <si>
    <t>Reuters</t>
  </si>
  <si>
    <t>Principal Notifications</t>
  </si>
  <si>
    <t>2015-2</t>
  </si>
  <si>
    <t>BarCap</t>
  </si>
  <si>
    <t>Previous Factor 
(Previous Principal Amount Outstanding/
Original Principal Amount)</t>
  </si>
  <si>
    <t>Current Factor 
(Principal Amount Outstanding at the end of the Interest Period/
Original Principal Amount)</t>
  </si>
  <si>
    <t>Amounts due to Class C Notes (including amounts due under the swap agreement)</t>
  </si>
  <si>
    <t>Amounts due to Class D Notes (including amounts due under the swap agreement)</t>
  </si>
  <si>
    <t>No funding liquidity reserve fund to be established - Barclays ratings above A3 by Moody's and A- by Fitch</t>
  </si>
  <si>
    <t>Series 2006-1</t>
  </si>
  <si>
    <t>ISIN</t>
  </si>
  <si>
    <t>US38405JAA79</t>
  </si>
  <si>
    <t>XSO273839471</t>
  </si>
  <si>
    <t>XS0273763556</t>
  </si>
  <si>
    <t>US38405JAD19</t>
  </si>
  <si>
    <t>XS0273840305</t>
  </si>
  <si>
    <t>US38405JAH23</t>
  </si>
  <si>
    <t>XS0273846500</t>
  </si>
  <si>
    <t>Common Code</t>
  </si>
  <si>
    <t>Seller, Administrator, Mortgages Trust Cash Manager, Funding Cash Manager, Issuer Cash Manager, Issuer Account Bank, 
Funding Account Bank, Mortgages Trustee Account Bank, Senior Expenses Loan Facility Provider,  Junior Expenses Loan Facility Provider, Yield Supplement Loan Facility Provider, Basis Rate Swap Provider, Issuer Swap Provider</t>
  </si>
  <si>
    <t>Structured Finance Management Limited</t>
  </si>
  <si>
    <t>PORTFOLIO STRATIFICATION TABLES</t>
  </si>
  <si>
    <t>Mortgage Accounts repurchased since mortgages trust establishment date</t>
  </si>
  <si>
    <t>2009-1-B</t>
  </si>
  <si>
    <t>2009-1-C</t>
  </si>
  <si>
    <t>2009-1-D</t>
  </si>
  <si>
    <t>Total Outstanding</t>
  </si>
  <si>
    <t>Target Balance per class</t>
  </si>
  <si>
    <t>2044</t>
  </si>
  <si>
    <t>2014-2</t>
  </si>
  <si>
    <t>2014-4</t>
  </si>
  <si>
    <t>Right to Buy</t>
  </si>
  <si>
    <t>n/a</t>
  </si>
  <si>
    <t>2009-1-A</t>
  </si>
  <si>
    <t>Barclays satisfies all the above rating requirements</t>
  </si>
  <si>
    <t>Basis Swap and Cross-Currency Swap Downgrade Events</t>
  </si>
  <si>
    <t>* £303m of this excess spread results from a reduction in the Common Funding Reserve from £428m to £125m, reflecting agency requirements in respect of the reduced liabilities of the trust and increased credit enhancement (the limited recourse Z-loan).</t>
  </si>
  <si>
    <t>* NB - as per the 1st November restructure, the 2009-1 Notes were agreed to be redeemed at par without accrued interest resulting in increased</t>
  </si>
  <si>
    <t>excess spread for this period.</t>
  </si>
  <si>
    <t>Common Funding Reserve Ledger</t>
  </si>
  <si>
    <t>Currency</t>
  </si>
  <si>
    <t>USD</t>
  </si>
  <si>
    <t>EUR</t>
  </si>
  <si>
    <t>GBP</t>
  </si>
  <si>
    <t>Moody's</t>
  </si>
  <si>
    <t>S&amp;P</t>
  </si>
  <si>
    <t>Fitch</t>
  </si>
  <si>
    <t>Conditons for new mortgage loan tests</t>
  </si>
  <si>
    <t xml:space="preserve">Comments: </t>
  </si>
  <si>
    <t>% of arrears interest</t>
  </si>
  <si>
    <t>a) Historic interest arrears</t>
  </si>
  <si>
    <t>Min Rating Level</t>
  </si>
  <si>
    <t>A-</t>
  </si>
  <si>
    <t>BBB-</t>
  </si>
  <si>
    <t>AA+</t>
  </si>
  <si>
    <t>AA</t>
  </si>
  <si>
    <t>Current Rating Level</t>
  </si>
  <si>
    <t>CONDITIONS FOR NEW LOANS MET?</t>
  </si>
  <si>
    <t>Test Pass/Fail</t>
  </si>
  <si>
    <t>b) S&amp;P and Fitch ratings</t>
  </si>
  <si>
    <t>c) Moody's ratings</t>
  </si>
  <si>
    <t>A3</t>
  </si>
  <si>
    <t>Aa1</t>
  </si>
  <si>
    <t xml:space="preserve">(i) </t>
  </si>
  <si>
    <t>(ii) If Ratings lower than min</t>
  </si>
  <si>
    <t>(i)</t>
  </si>
  <si>
    <t>g) Maximum loans transferred</t>
  </si>
  <si>
    <t>see p.137/138 of base prospectus</t>
  </si>
  <si>
    <t>d) 3 months arrears test</t>
  </si>
  <si>
    <t>Aggregate Mortgage Account Current Balance as of Assignment Date</t>
  </si>
  <si>
    <t>Company Secretary, Barcosec
Stephen Kilday 
steven.kilday1@GROUPLOMB.Barclays.co.uk
and (not necessary under FCMA)
Bedell Trust UK Ltd
John.Ventress@bedellgroup.com</t>
  </si>
  <si>
    <t>Standard &amp; Poor’s Ratings Services</t>
  </si>
  <si>
    <t xml:space="preserve">FAO Structured Finance
ioanna-victoria_kyritsi@standardandpoors.com / Sean_Hannigan@standardandpoors.com
</t>
  </si>
  <si>
    <t>FAO Structured Finance - Surveillance
sf_surveillance@fitchratings.com - To be confirmed</t>
  </si>
  <si>
    <t>Quarterly Report additional addresses</t>
  </si>
  <si>
    <t>Include in Quarterly Report</t>
  </si>
  <si>
    <t>Basis Rate Swap Agreement</t>
  </si>
  <si>
    <t>Cross-Currency Swap Agreement</t>
  </si>
  <si>
    <t>No</t>
  </si>
  <si>
    <t>Funding Share Percentage</t>
  </si>
  <si>
    <t>i) principal due under each note</t>
  </si>
  <si>
    <t>ii) principal amount outstanding under each note</t>
  </si>
  <si>
    <t>iii) Pool factor = Amount outstanding under each note/ minimum denomination for each note</t>
  </si>
  <si>
    <t>Fixed</t>
  </si>
  <si>
    <t>Standard Variable</t>
  </si>
  <si>
    <t>Tracker</t>
  </si>
  <si>
    <t>LSE</t>
  </si>
  <si>
    <t>Notify below by 7 days after payment date:</t>
  </si>
  <si>
    <t>If a non asset trigger event has occurred, but prior to the occurrence of an asset trigger event:
(a) the mortgages trustee distribute all remaining mortgages trust principal receipts to funding and funding (no. 2) until their respective shares of the trust property is zero.                                                                                                                                                                                                                                                                                                                                                          (See "The Mortgages Trust – Cash management of trust property – Principal receipts")
(b) the loan note tranches issued by funding will each enter a non-asset trigger amortisation period and funding will apply such distributions from the mortgages trust to repay                                                                                                                                                                                                                                                                                                                                                                                            the loan note tranches in accordance with the applicable priority of payments.  (See "The Loan Note Tranches and Funding Cashflows")
(c)  the issuer will apply any principal repayments of a loan note tranche in accordance with the applicable priority of payments.  (See "Issuer Cashflows")</t>
  </si>
  <si>
    <t>US38405JCC18</t>
  </si>
  <si>
    <t>US38405JCD90</t>
  </si>
  <si>
    <t>US38405JCE73</t>
  </si>
  <si>
    <t>US38405JCF49</t>
  </si>
  <si>
    <t>US38405JCG22</t>
  </si>
  <si>
    <t>US38405JCH05</t>
  </si>
  <si>
    <t>Weighted LN balance</t>
  </si>
  <si>
    <t>Mortgage products</t>
  </si>
  <si>
    <t>Coupon rate on mortgage loans</t>
  </si>
  <si>
    <t>Fixed rate on mortgage loans</t>
  </si>
  <si>
    <t>PAYMENT PRIORITIES</t>
  </si>
  <si>
    <t xml:space="preserve">calculation, excess spread is assumed to be 0) </t>
  </si>
  <si>
    <t>Bank of New York</t>
  </si>
  <si>
    <t>140</t>
  </si>
  <si>
    <t>1/Jul/2011 - 31/Jul/2011</t>
  </si>
  <si>
    <t>1/Jun/2011 - 30/Jun/2011</t>
  </si>
  <si>
    <t>1/May/2011 - 31/May/2011</t>
  </si>
  <si>
    <t>June</t>
  </si>
  <si>
    <t>July</t>
  </si>
  <si>
    <t>August</t>
  </si>
  <si>
    <t>20/May/2011-22/Aug/2011</t>
  </si>
  <si>
    <t>19/05/11-20/06/11</t>
  </si>
  <si>
    <t>20/06/11-19/07/11</t>
  </si>
  <si>
    <t>19/07/11-19/08/11</t>
  </si>
  <si>
    <t>Current interest rate</t>
  </si>
  <si>
    <t xml:space="preserve">USD </t>
  </si>
  <si>
    <t xml:space="preserve">gbp </t>
  </si>
  <si>
    <t xml:space="preserve">eur </t>
  </si>
  <si>
    <t>Current IPD</t>
  </si>
  <si>
    <t>Last IPD</t>
  </si>
  <si>
    <t xml:space="preserve">Sum of BOND COUPON </t>
  </si>
  <si>
    <t>DAYS IN CALCULATION PERIOD</t>
  </si>
  <si>
    <t>CCY</t>
  </si>
  <si>
    <t xml:space="preserve">CLASS </t>
  </si>
  <si>
    <t>CCY NOTIONAL</t>
  </si>
  <si>
    <t>EXCHANGE</t>
  </si>
  <si>
    <t>GBP  SWAP NOTIONAL</t>
  </si>
  <si>
    <t xml:space="preserve">BOND COUPON </t>
  </si>
  <si>
    <t>XCCY SWAP</t>
  </si>
  <si>
    <t>Grand Total</t>
  </si>
  <si>
    <t xml:space="preserve">STG XXCY SWAP </t>
  </si>
  <si>
    <t>Notes Margin]</t>
  </si>
  <si>
    <t>Cross CRNCY Swap Margin</t>
  </si>
  <si>
    <t>A</t>
  </si>
  <si>
    <t>B</t>
  </si>
  <si>
    <t>C</t>
  </si>
  <si>
    <t>D</t>
  </si>
  <si>
    <t>TOTAL</t>
  </si>
  <si>
    <t>Mortgages Trustee</t>
  </si>
  <si>
    <t>Bedell Trust Company Limited
FAO Institutional Client Team
Jean.Walsh@bedellgroup.com
Rebecca.Bates@bedellgroup.com</t>
  </si>
  <si>
    <t>Funding Cash Management Agreement</t>
  </si>
  <si>
    <t>Party</t>
  </si>
  <si>
    <t>Address</t>
  </si>
  <si>
    <t>1A</t>
  </si>
  <si>
    <t>Gracechurch GMF Funding 1 Limited</t>
  </si>
  <si>
    <t>Arrears or Step-up Trigger</t>
  </si>
  <si>
    <t>An "arrears or step-up trigger event" occurs when:                                                                                                                                                                                                                          (i) the aggregate current balance of the mortgage accounts where the corresponding mortgage loans are then in excess of three monthly payments in arrears is more than 2 per cent. of the aggregate current balance of all mortgage accounts in the mortgages trust or;                                                                                                                                                                  (ii) if the issuer fails to exercise its option to redeem any series of notes on the relevant step-up date of such series of notes in accordance with the terms and conditions of the notes.</t>
  </si>
  <si>
    <t>Funding available revenue receipts will, in accordance with the funding pre-enforcement revenue priority of payments, only be applied by funding to replenish the common funding reserve fund after funding has, inter alia:
(i) paid interest due on each loan note tranche ranking senior in the relevant funding priority of payment;
(ii) reduced to zero any deficiency on any funding principal deficiency sub-ledger for a loan note tranche ranking senior in the relevant funding priority of payment; and
(iii) replenished the funding liquidity reserve fund (if established) up to the then funding liquidity reserve required amount.</t>
  </si>
  <si>
    <t>Funding Principal Repayment Tests</t>
  </si>
  <si>
    <t>Interest Only</t>
  </si>
  <si>
    <t>Repayment</t>
  </si>
  <si>
    <t>Current</t>
  </si>
  <si>
    <t>Repurchases</t>
  </si>
  <si>
    <t>Number</t>
  </si>
  <si>
    <t>Amount (£)</t>
  </si>
  <si>
    <t>Excess Spread for this period (as % of Note Balance as of the start of the interest period and annualised):</t>
  </si>
  <si>
    <t>Controlled Amortisation</t>
  </si>
  <si>
    <t>MATURITY</t>
  </si>
  <si>
    <t>2013-3</t>
  </si>
  <si>
    <t>2018-2</t>
  </si>
  <si>
    <t>MRCLN Value</t>
  </si>
  <si>
    <t>Total Properties In Possession This Month</t>
  </si>
  <si>
    <t>Sales &amp; Shortfalls</t>
  </si>
  <si>
    <t>Balance At Possession</t>
  </si>
  <si>
    <t>Account Balance At Sale</t>
  </si>
  <si>
    <t>Proceeds From Sale</t>
  </si>
  <si>
    <t>Shortfall At Sale</t>
  </si>
  <si>
    <r>
      <t xml:space="preserve">Funding principal repayment tests have been satisfied with regards to the relevant Interest Payment Date: 
</t>
    </r>
    <r>
      <rPr>
        <sz val="10"/>
        <rFont val="Barclays Sans"/>
        <family val="2"/>
      </rPr>
      <t>i) Arrears of interest in respect of all the mortgage accounts in the mortgages trust as of the immediately preceeding trust determination date as a percentage of the aggregate gross interest due on all mortgage accounts during the succeeding 12 months does not exceed 2% 
ii) The common funding reserve fund is equal to the common funding reserve required amount, and 
iii) Any funding repayment test needs to be satisfied</t>
    </r>
  </si>
  <si>
    <t>In Litigation COB This Month</t>
  </si>
  <si>
    <t>N/A</t>
  </si>
  <si>
    <t>Days in Interest Period GMF 06-1/07-1</t>
  </si>
  <si>
    <t>Days in Interest Period GMF 09-1</t>
  </si>
  <si>
    <t>Series 2009-1</t>
  </si>
  <si>
    <t>XS0426108956</t>
  </si>
  <si>
    <t>XS0426113105</t>
  </si>
  <si>
    <t>XS0426115738</t>
  </si>
  <si>
    <t>In addition, a £548 million subordinated limited recourse Z-loan was issued and approximately £11.5 billion of mortgage assets were repurchased from the trust to finance the redemption.</t>
  </si>
  <si>
    <t>http://group.barclays.com/Investor-Relations/Debt-Investors</t>
  </si>
  <si>
    <t>Interest Paid *</t>
  </si>
  <si>
    <t>XS0426116892</t>
  </si>
  <si>
    <t>3 month £ Libor</t>
  </si>
  <si>
    <t>£150,000 - £200,000</t>
  </si>
  <si>
    <t>£200,000 - £250,000</t>
  </si>
  <si>
    <t>£250,000 - £300,000</t>
  </si>
  <si>
    <t>£300,000 - £350,000</t>
  </si>
  <si>
    <t>£350,000 - £400,000</t>
  </si>
  <si>
    <t>£400,000 - £450,000</t>
  </si>
  <si>
    <t>£450,000 - £500,000</t>
  </si>
  <si>
    <t>£500,000 - £600,000</t>
  </si>
  <si>
    <t>£600,000 - £700,000</t>
  </si>
  <si>
    <t>£700,000 - £800,000</t>
  </si>
  <si>
    <t>£800,000 - £900,000</t>
  </si>
  <si>
    <t>£900,000 - £1,000,000</t>
  </si>
  <si>
    <t>Initial advance</t>
  </si>
  <si>
    <t>Range of initial advance</t>
  </si>
  <si>
    <t>Yes</t>
  </si>
  <si>
    <t>4 - 4.99%</t>
  </si>
  <si>
    <t>5 - 5.99%</t>
  </si>
  <si>
    <t>6 - 6.99%</t>
  </si>
  <si>
    <t>Loans in Legal Proceedings</t>
  </si>
  <si>
    <t>Funding</t>
  </si>
  <si>
    <t>Funding revenue allocated yield supplement amount</t>
  </si>
  <si>
    <t>Notes</t>
  </si>
  <si>
    <t>The then current seller share is equal to or less than the minimum seller share for two consecutive distribution dates</t>
  </si>
  <si>
    <t>Asset Trigger Event</t>
  </si>
  <si>
    <t>Principal deficiencies</t>
  </si>
  <si>
    <t>An asset trigger event means, whilst any notes issued by the issuer are outstanding, an event that occurs when an amount is debited to a class A funding principal deficiency sub-ledger</t>
  </si>
  <si>
    <t xml:space="preserve">If an asset trigger event has occurred:                                                                                                                                                                                                                          (a) the mortgages trustee will distribute any remaining mortgages trust principal receipts to funding, funding (no. 2) and the seller proportionally based on their shares of the trust property.  (See "The Mortgages Trust – Cash management of trust property – Principal receipts")                                                                                                                                                                     (b) the loan note tranches issued by funding will each enter an asset trigger amortisation period and funding will apply such distributions from the mortgages trust to repay any loan note tranche in accordance with the applicable priority of payment.  (See "The Loan Note Tranches and Funding Cashflows")                                                                                                                                                                                   (c) the issuer will apply any principal repayments of any loan note tranche in accordance with the applicable priority of payments.  (See "Issuer Cashflows")                                                                                                                 </t>
  </si>
  <si>
    <t>Issuer Security Trustee, Funding Security Trustee, Principal Paying Agent, Agent Bank, Registrar, Loan Note Registrar, Transfer Agent,  Exchange Agent, Calculation Agent</t>
  </si>
  <si>
    <t>Mortgages Trustee Corporate Services Provider, PECOH Corporate Services Provider</t>
  </si>
  <si>
    <t xml:space="preserve">Gracechurch Mortgage Financing PLC </t>
  </si>
  <si>
    <t>Gracechurch GMF Trustee Limited</t>
  </si>
  <si>
    <t>In accordance with standard market practice in the UK mortgage loan servicing business, the Barclays identifies a mortgage loan as being "in arrears" when, on any due date, the overdue amounts which were due on previous due dates equal, in the aggregate, one or more full monthly payments. In making an arrears determination, the Barclays calculates as of the date of determination the difference between:
(a) the sum of all monthly payments that were due and payable by a borrower on any due date up to that date of determination; and
(b) the sum of all payments actually made by that borrower up to that date of determination.
Barclays will determine that a mortgage loan is in arrears if the result arrived at by dividing that difference (if any) by the amount of the required monthly payment equals or exceeds 1. A mortgage loan will continue to be in arrears for each calendar month in which the result of the foregoing arrears calculation equals or exceeds 1, which result means that the borrower has missed payments that in the aggregate equal or exceed one monthly payment, and subsequent payments by that borrower (if any) have not reduced the amount of missed payments to less than one monthly payment. As Barclays determines its arrears classification based upon the number of full monthly payments that have been missed by a borrower, a borrower that has missed payments that in the aggregate equal or exceed 1 monthly payment (but for which the aggregate of missed payments is less than 2 monthly payments) would be classified by Barclays as being between 1-2 months in arrears, and so on.</t>
  </si>
  <si>
    <t xml:space="preserve">   -Applicable Weighted Average Rate</t>
  </si>
  <si>
    <t xml:space="preserve">Net </t>
  </si>
  <si>
    <t xml:space="preserve">Collateral Posting </t>
  </si>
  <si>
    <t>Account Name: The Bank of New York, Brussels
The Bank of New York, NY
Account Number: 8900285451
Swift: IRVTUS3N
Ref: CT/LBurman - Re:GMF 07-1 USD amounts due</t>
  </si>
  <si>
    <t>-</t>
  </si>
  <si>
    <t>if account is on 'rating watch negative'</t>
  </si>
  <si>
    <t xml:space="preserve">F1+ or above </t>
  </si>
  <si>
    <t xml:space="preserve">F1 </t>
  </si>
  <si>
    <t>XS0302997365</t>
  </si>
  <si>
    <t>XS0302998090</t>
  </si>
  <si>
    <t>XS0303045198</t>
  </si>
  <si>
    <t>XS0302999064</t>
  </si>
  <si>
    <t>XS0302999734</t>
  </si>
  <si>
    <t>XS0303000094</t>
  </si>
  <si>
    <t>XS0303000334</t>
  </si>
  <si>
    <t>XS0303000847</t>
  </si>
  <si>
    <t>XS0303001225</t>
  </si>
  <si>
    <t>XS0303001902</t>
  </si>
  <si>
    <t>XS0303002207</t>
  </si>
  <si>
    <t xml:space="preserve">     Range of outstanding mortgage</t>
  </si>
  <si>
    <t xml:space="preserve">     Quarter in which fixed period ends</t>
  </si>
  <si>
    <t xml:space="preserve"> </t>
  </si>
  <si>
    <t>Basis swap amounts to be received</t>
  </si>
  <si>
    <t>Required Yield Supplement Utilisation Amount</t>
  </si>
  <si>
    <t>Yield supplement loan repayment amount</t>
  </si>
  <si>
    <t>Yield supplement loan repurchase amount</t>
  </si>
  <si>
    <t>Yield Supplement Account closing balance</t>
  </si>
  <si>
    <t>Investor Report Website:</t>
  </si>
  <si>
    <t>Waterfalls</t>
  </si>
  <si>
    <t>Aggregate Outstanding principal balance of loans as of the beginning of the relevant period</t>
  </si>
  <si>
    <t>MRCLN  as of the beginning of the relevant period</t>
  </si>
  <si>
    <t>Reserve Balance of Repurchased Loans</t>
  </si>
  <si>
    <t xml:space="preserve">Unpaid Interest Balance of Repurchased Loans </t>
  </si>
  <si>
    <t>Mortgage Loan Principal balance of repurchased mortgage loans</t>
  </si>
  <si>
    <t>Arrears Interest of repurchased mortgage loans</t>
  </si>
  <si>
    <t>Accrued Interest of repurchased mortgage loans</t>
  </si>
  <si>
    <t>Credit Balances of repurchased mortgage loans (Calculated Principal) (negative number)</t>
  </si>
  <si>
    <t>Mortgage Loan Principal Balance of Closed Mortgage Loans</t>
  </si>
  <si>
    <t>Arrears Interest of closed mortgage loans</t>
  </si>
  <si>
    <t>Credit Balances of closed mortgage loans (Calculated Principal)</t>
  </si>
  <si>
    <t>WA Yield</t>
  </si>
  <si>
    <t>Minimum Margin on Loans</t>
  </si>
  <si>
    <t>Average Pool Yield</t>
  </si>
  <si>
    <t>Nominal Liquidation Amount</t>
  </si>
  <si>
    <t>Yield of Pool</t>
  </si>
  <si>
    <t>Funding Expense Rate</t>
  </si>
  <si>
    <t>i) WA LN tranche margin</t>
  </si>
  <si>
    <t>ii) LN tranche outstanding</t>
  </si>
  <si>
    <t>Funding Waterfall Expenses</t>
  </si>
  <si>
    <t>the amounts payable by funding under paragraphs (a) through</t>
  </si>
  <si>
    <t>of the funding pre-enforcement revenue priority of payments</t>
  </si>
  <si>
    <t xml:space="preserve"> (e)(ii), (g)(i), (j)(i), (l)(i), (n)(i) and (p)(i) </t>
  </si>
  <si>
    <t>From Yield Calculation Spreadsheet-INCLUDE LIBOR</t>
  </si>
  <si>
    <t>LIBOR</t>
  </si>
  <si>
    <t xml:space="preserve">£ </t>
  </si>
  <si>
    <t>Notes:</t>
  </si>
  <si>
    <t>as of the 22nd of Aug 2011</t>
  </si>
  <si>
    <t>Original Principal Amount</t>
  </si>
  <si>
    <t>Principal Amount Outstanding as of the beginning 
of the Interest Period</t>
  </si>
  <si>
    <t>Principal Amount Outstanding at the end of the Interest Period</t>
  </si>
  <si>
    <t>Controlled Amortisation Amount</t>
  </si>
  <si>
    <t>Target Balance</t>
  </si>
  <si>
    <t>Principal paid in current period less Controlled Amortisation Amount/ (Principal Shortfall)</t>
  </si>
  <si>
    <t>Aaa/AAA/AAA</t>
  </si>
  <si>
    <t>Basis</t>
  </si>
  <si>
    <t>3 month USD Libor</t>
  </si>
  <si>
    <t>3 month Euribor</t>
  </si>
  <si>
    <t>3 month Sterling Libor</t>
  </si>
  <si>
    <t>Basis determination for Issuer Payment Date</t>
  </si>
  <si>
    <t>Margin</t>
  </si>
  <si>
    <t>Interest Shortfall</t>
  </si>
  <si>
    <t>Original WAL</t>
  </si>
  <si>
    <t>Expected Maturity</t>
  </si>
  <si>
    <t>Step-Up Date</t>
  </si>
  <si>
    <t>Legal Maturity</t>
  </si>
  <si>
    <t>US38405JAB52</t>
  </si>
  <si>
    <t>XS0273841378</t>
  </si>
  <si>
    <t>XS0273841535</t>
  </si>
  <si>
    <t>US38405JAC36</t>
  </si>
  <si>
    <t>XS0273842699</t>
  </si>
  <si>
    <t>XS0273843317</t>
  </si>
  <si>
    <t>US38405JAG40</t>
  </si>
  <si>
    <t>XS0273844125</t>
  </si>
  <si>
    <t>XS0273845361</t>
  </si>
  <si>
    <t>38405JAB5</t>
  </si>
  <si>
    <t>38405JAC3</t>
  </si>
  <si>
    <t>38405JAG4</t>
  </si>
  <si>
    <t>Aa3/AA/AA</t>
  </si>
  <si>
    <t>A2/A/A</t>
  </si>
  <si>
    <t>Baa2/BBB/BBB</t>
  </si>
  <si>
    <t>Cumulative Interest Shortfall</t>
  </si>
  <si>
    <t xml:space="preserve">Class A </t>
  </si>
  <si>
    <t>Common Funding Reserve Fund</t>
  </si>
  <si>
    <t>Common Funding Reserve Required Amount:</t>
  </si>
  <si>
    <t>Common Funding Reserve beginning balance:</t>
  </si>
  <si>
    <t>Common Funding Reserve ending balance:</t>
  </si>
  <si>
    <t>Yield Supplement Account</t>
  </si>
  <si>
    <t>Yield Supplement Account opening balance</t>
  </si>
  <si>
    <t>Initial Required Yield Supplement Deposit Amount for loans added in period</t>
  </si>
  <si>
    <t>Original term</t>
  </si>
  <si>
    <t>Types of property</t>
  </si>
  <si>
    <t>Year of maturity</t>
  </si>
  <si>
    <t>Current indexed LTV (%)</t>
  </si>
  <si>
    <t>Employment type</t>
  </si>
  <si>
    <t>Self employed</t>
  </si>
  <si>
    <t>Mortgage accounts in arrears</t>
  </si>
  <si>
    <t>Monthly payments due</t>
  </si>
  <si>
    <t>Additions</t>
  </si>
  <si>
    <t>Type of repayment plans</t>
  </si>
  <si>
    <t>36 - 38</t>
  </si>
  <si>
    <t>35 - 36.99</t>
  </si>
  <si>
    <t>37+</t>
  </si>
  <si>
    <t>2012-3</t>
  </si>
  <si>
    <t>2017-3</t>
  </si>
  <si>
    <t>Days</t>
  </si>
  <si>
    <t>plattc:</t>
  </si>
  <si>
    <t>Class B Loan Note due amounts</t>
  </si>
  <si>
    <t>Class C Loan Note due amounts</t>
  </si>
  <si>
    <t>Class D Loan Note due amounts</t>
  </si>
  <si>
    <r>
      <t xml:space="preserve">The "funding principal repayment tests" means: -           </t>
    </r>
    <r>
      <rPr>
        <b/>
        <sz val="10"/>
        <rFont val="Barclays Sans"/>
        <family val="2"/>
      </rPr>
      <t xml:space="preserve">                                                                                                                                                                                                                                  (i) the funding arrears test                            </t>
    </r>
    <r>
      <rPr>
        <sz val="10"/>
        <rFont val="Barclays Sans"/>
        <family val="2"/>
      </rPr>
      <t xml:space="preserve">                                                                                                                                                                                                                                The "funding arrears test" is satisfied on a funding payment date if                                                                                                                                                                                                                                     a) the aggregate current balance of the mortgage accounts where the corresponding mortgage loans are then in excess of three monthly payments in arrears is less than 4 per cent. of the aggregate current balance of all mortgage accounts in the mortgages trust.</t>
    </r>
  </si>
  <si>
    <r>
      <t xml:space="preserve">(iii) the funding rating repayment test   </t>
    </r>
    <r>
      <rPr>
        <sz val="10"/>
        <rFont val="Barclays Sans"/>
        <family val="2"/>
      </rPr>
      <t xml:space="preserve">                                                                                                                                                                                                                                          The "funding rating repayment test" is only required to be satisfied in respect of any funding payment date and if stated as necessary in the relevant applicable final terms to any particular loan note tranche of a particular series. If so stated, then the funding rating repayment test will be satisfied if:                                                                                                                                                                                                                                                                            a) whilst any class A loan note tranche remains outstanding save to the extent that all such class A loan note tranches would be repaid                                                                                                                                         (b) no class A loan note tranche remains outstanding at such time.</t>
    </r>
  </si>
  <si>
    <t>INVESTORS REPORT</t>
  </si>
  <si>
    <t>Mortgage Interest Rate</t>
  </si>
  <si>
    <t>Note:</t>
  </si>
  <si>
    <t>2. *Remaining term of 0 years is where mortgage is scheduled to mature within 12 months</t>
  </si>
  <si>
    <t>% of Total Number</t>
  </si>
  <si>
    <t>Repayment Balance (£)</t>
  </si>
  <si>
    <t>Interest-Only Balance (£)</t>
  </si>
  <si>
    <t>Bedell Trust Company Limited</t>
  </si>
  <si>
    <t>Other Information</t>
  </si>
  <si>
    <t>Programme Listing</t>
  </si>
  <si>
    <t>London Stock Exchange</t>
  </si>
  <si>
    <t>Moody's portfolio variation test value as of last pool analysis</t>
  </si>
  <si>
    <t>Available Subordination Amount (£)</t>
  </si>
  <si>
    <t>Required Subordination Amount (£)</t>
  </si>
  <si>
    <t>Mortgages Trustee Corporate Services Provider</t>
  </si>
  <si>
    <r>
      <t>A "</t>
    </r>
    <r>
      <rPr>
        <b/>
        <sz val="10"/>
        <rFont val="Barclays Sans"/>
        <family val="2"/>
      </rPr>
      <t>non-asset trigger event</t>
    </r>
    <r>
      <rPr>
        <sz val="10"/>
        <rFont val="Barclays Sans"/>
        <family val="2"/>
      </rPr>
      <t>" occurs when:</t>
    </r>
  </si>
  <si>
    <t>Excess Spread for Period</t>
  </si>
  <si>
    <t>Beginning Period LN balance</t>
  </si>
  <si>
    <t>Ratings (Moody's/S&amp;P/Fitch)</t>
  </si>
  <si>
    <t>Mortgage Trust Principal Receipts over the relevant period</t>
  </si>
  <si>
    <t>1A1</t>
  </si>
  <si>
    <t>1A2</t>
  </si>
  <si>
    <t>1A3</t>
  </si>
  <si>
    <t>2A1</t>
  </si>
  <si>
    <t>2A2</t>
  </si>
  <si>
    <t>3A1</t>
  </si>
  <si>
    <t>3A2</t>
  </si>
  <si>
    <t>3A3</t>
  </si>
  <si>
    <t>1B1</t>
  </si>
  <si>
    <t>2B2</t>
  </si>
  <si>
    <t>2B3</t>
  </si>
  <si>
    <t>1C1</t>
  </si>
  <si>
    <t>2C2</t>
  </si>
  <si>
    <t>2C3</t>
  </si>
  <si>
    <t>2D1</t>
  </si>
  <si>
    <t>2D2</t>
  </si>
  <si>
    <t>2D3</t>
  </si>
  <si>
    <t>Note Schedule</t>
  </si>
  <si>
    <t>2) Total Tranche Target Balance</t>
  </si>
  <si>
    <t>A Class</t>
  </si>
  <si>
    <t>B Class</t>
  </si>
  <si>
    <t>C Class</t>
  </si>
  <si>
    <t>D Class</t>
  </si>
  <si>
    <t>Funding Pre-enforcement revenue priority of payments</t>
  </si>
  <si>
    <t>Funding Available Principal Receipts</t>
  </si>
  <si>
    <t>Ammort Amt</t>
  </si>
  <si>
    <t xml:space="preserve">EUR </t>
  </si>
  <si>
    <t>Min Note</t>
  </si>
  <si>
    <t>USD/EUR/GBP</t>
  </si>
  <si>
    <t>Test Pass/Fail (New MPV value less /more than original MPV value + 0.3%?)</t>
  </si>
  <si>
    <t>Test Pass/Fail (Post addition WAL less/more than issue date WA LTV+0.25%)</t>
  </si>
  <si>
    <t>Test Pass/Fail (Post addition WA margin =&gt;0.4%)</t>
  </si>
  <si>
    <t>q) New mortgage loans materially the same with most recent ratings test passed mortgage loans</t>
  </si>
  <si>
    <t>Funding2 Dormant?</t>
  </si>
  <si>
    <t>If yes insert "TRUE"</t>
  </si>
  <si>
    <t>NOT RIGHT</t>
  </si>
  <si>
    <t>less</t>
  </si>
  <si>
    <t>2019</t>
  </si>
  <si>
    <t>2020</t>
  </si>
  <si>
    <t>2021</t>
  </si>
  <si>
    <t>2022</t>
  </si>
  <si>
    <t>2015-1</t>
  </si>
  <si>
    <t>Aggregate Mortgage Reserve Debt Principal Balancing Amount over the relevant period</t>
  </si>
  <si>
    <t>CPR</t>
  </si>
  <si>
    <t>Repurchase Amount (excl accrued interest- net of credit balances)</t>
  </si>
  <si>
    <t>Excess Spread Annualisation</t>
  </si>
  <si>
    <t>Excess Spread Calculation as per prospectus-NOT USED</t>
  </si>
  <si>
    <t>Short Term</t>
  </si>
  <si>
    <t>A-1+</t>
  </si>
  <si>
    <t>P-1</t>
  </si>
  <si>
    <t>25 - 26.99</t>
  </si>
  <si>
    <t>27 - 28.99</t>
  </si>
  <si>
    <t>29 - 30.99</t>
  </si>
  <si>
    <t>31 - 32.99</t>
  </si>
  <si>
    <t>33 - 34.99</t>
  </si>
  <si>
    <t>Geographical distribution of mortgaged properties</t>
  </si>
  <si>
    <t>Region</t>
  </si>
  <si>
    <t>Current loan to value ratios</t>
  </si>
  <si>
    <t>Current LTV (%)</t>
  </si>
  <si>
    <t>00% - 19.99%</t>
  </si>
  <si>
    <t>&gt; 90%</t>
  </si>
  <si>
    <t>Total:</t>
  </si>
  <si>
    <t>Drawable loan to value ratio</t>
  </si>
  <si>
    <t>Mortgage reserve credit and aggregate debt limit LTV (%)</t>
  </si>
  <si>
    <t>00% - 20%</t>
  </si>
  <si>
    <t xml:space="preserve">Mortgages Trustee </t>
  </si>
  <si>
    <t>Seller</t>
  </si>
  <si>
    <t>Funding/Funding No.2</t>
  </si>
  <si>
    <t>Funding Security Trustee/ 
Issuer Security Trustee</t>
  </si>
  <si>
    <t>Monthly Report additional (to the above) addresses - To be sent only on non-IPD dates</t>
  </si>
  <si>
    <t>Bloomberg</t>
  </si>
  <si>
    <t>ldeiacouo@bloomberg.net</t>
  </si>
  <si>
    <t>ghpeters@bloomberg.net</t>
  </si>
  <si>
    <t>ABS Net</t>
  </si>
  <si>
    <t>datacenter@lewtan.com</t>
  </si>
  <si>
    <t>MTCMA quarterly report addresses</t>
  </si>
  <si>
    <t>see above</t>
  </si>
  <si>
    <t>ALL ADRESSES FOR QUARTERLY REPORT- SEE EXPLANATION BELOW:</t>
  </si>
  <si>
    <t>see Funding on the left</t>
  </si>
  <si>
    <t>see Funding Security Trustee on the left</t>
  </si>
  <si>
    <t>f) No rating agency written confirmation that the sale of new mortgage loans will adversely affect the then current ratings of the then existing series of notes</t>
  </si>
  <si>
    <t>i) Fully funded funding2 reserve fund (if any)</t>
  </si>
  <si>
    <t>Aggregate arrears interest</t>
  </si>
  <si>
    <t>PASS</t>
  </si>
  <si>
    <t xml:space="preserve">    (I) Mortgage Account WAFF as of most recent issue date</t>
  </si>
  <si>
    <t>2006-1 A1</t>
  </si>
  <si>
    <t>2006-1 A2</t>
  </si>
  <si>
    <t>2006-1 A3</t>
  </si>
  <si>
    <t>2006-1 A4</t>
  </si>
  <si>
    <t>2006-1 A5</t>
  </si>
  <si>
    <t>2006-1 A6</t>
  </si>
  <si>
    <t>2006-1 A7</t>
  </si>
  <si>
    <t>2006-1 B1</t>
  </si>
  <si>
    <t>2006-1 B3</t>
  </si>
  <si>
    <t>2006-1 B4</t>
  </si>
  <si>
    <t>2006-1 C1</t>
  </si>
  <si>
    <t>2006-1 C3</t>
  </si>
  <si>
    <t>2006-1 C4</t>
  </si>
  <si>
    <t>2006-1 D2</t>
  </si>
  <si>
    <t>2006-1 D3</t>
  </si>
  <si>
    <t>2006-1 D4</t>
  </si>
  <si>
    <t>Total Class A LN Tranche Target Balance</t>
  </si>
  <si>
    <t>Total Class B LN Tranche Target Balance</t>
  </si>
  <si>
    <t>Total Class C LN Tranche Target Balance</t>
  </si>
  <si>
    <t>Total Class D LN Tranche Target Balance</t>
  </si>
  <si>
    <t>Date</t>
  </si>
  <si>
    <t>Balance</t>
  </si>
  <si>
    <t>Funding Available Revenue Receipts</t>
  </si>
  <si>
    <t>7 - 7.99%</t>
  </si>
  <si>
    <t>Distribution of termination of fixed rate mortgage (by quarter)</t>
  </si>
  <si>
    <t xml:space="preserve">If an asset trigger event has occurred:                                                                                                                                                                                                                                                                                                      (a) the mortgages trustee will distribute any remaining mortgages trust principal receipts to funding, funding (no. 2) and the seller proportionally based on their shares of the trust property.  (See "The Mortgages Trust – Cash management of trust property – Principal receipts")                                                                                                                                                                                                   (b) the loan note tranches issued by funding will each enter an asset trigger amortisation period and funding will apply such distributions from the mortgages trust to repay any loan note tranche in accordance with the applicable priority of payment.  (See "The Loan Note Tranches and Funding Cashflows")                                                                                                                                                                                   (c) the issuer will apply any principal repayments of any loan note tranche in accordance with the applicable priority of payments.  (See "Issuer Cashflows")                                                                                                                 </t>
  </si>
  <si>
    <t>Contact Details:</t>
  </si>
  <si>
    <t>Transaction Documentation:</t>
  </si>
  <si>
    <t>Investor Reporting:</t>
  </si>
  <si>
    <t>Loan Level Reporting:</t>
  </si>
  <si>
    <t xml:space="preserve">Davina Karsondas                                                                                                                                                                                                                                                   
</t>
  </si>
  <si>
    <t>E-mail: Davina.Karsondas@Barclaystreasury.Com</t>
  </si>
  <si>
    <t>Tel:+44 (0)20 777 31082</t>
  </si>
  <si>
    <t>Sales Since Trust Establishment</t>
  </si>
  <si>
    <t>Weighted average coupon (by value)</t>
  </si>
  <si>
    <t>Weighted average original loan term (by value)</t>
  </si>
  <si>
    <t>Weighted average remaining term (by value) Years</t>
  </si>
  <si>
    <t>Weighted average original LTV (by value)</t>
  </si>
  <si>
    <t>Weighted average current LTV (by value)</t>
  </si>
  <si>
    <t>Weighted average current indexed LTV (by value)</t>
  </si>
  <si>
    <t>Weighted average drawable LTV (by value)</t>
  </si>
  <si>
    <t>Average Mortgage Loan Balance</t>
  </si>
  <si>
    <t>Average Mortgage Account Balance</t>
  </si>
  <si>
    <t>Weighted average seasoning (by value) Months</t>
  </si>
  <si>
    <t>GMF 06-1/07-1</t>
  </si>
  <si>
    <t>Cut Off (31 Mar 07)</t>
  </si>
  <si>
    <t>Issuer Security Trustee, Funding Security Trustee, Principal Paying Agent, Agent Bank, Registrar, Loan Note Registrar, Transfer Agent,  Exchange Agent, Common Depositary</t>
  </si>
  <si>
    <t>BUNGALOW</t>
  </si>
  <si>
    <t>DETACHED</t>
  </si>
  <si>
    <t>FLAT/MAIS</t>
  </si>
  <si>
    <t>SEMI</t>
  </si>
  <si>
    <t>TERRACE</t>
  </si>
  <si>
    <t xml:space="preserve"> Current</t>
  </si>
  <si>
    <t>1 -  2 mths</t>
  </si>
  <si>
    <t>2+ - 3 mths</t>
  </si>
  <si>
    <t>3+ - 4 mths</t>
  </si>
  <si>
    <t>4+ - 5 mths</t>
  </si>
  <si>
    <t>5+ - 6 mths</t>
  </si>
  <si>
    <t>6+ months</t>
  </si>
  <si>
    <t>Fast Track Loans</t>
  </si>
  <si>
    <t xml:space="preserve">Yes </t>
  </si>
  <si>
    <t xml:space="preserve">No </t>
  </si>
  <si>
    <t>Fast Track</t>
  </si>
  <si>
    <t>Aggregate Account Balance (£)</t>
  </si>
  <si>
    <t>% of Total Value</t>
  </si>
  <si>
    <t>Number Of Collaterals</t>
  </si>
  <si>
    <t>00% - 20.00%</t>
  </si>
  <si>
    <t>20.01% - 30.00%</t>
  </si>
  <si>
    <t>30.01% - 40.00%</t>
  </si>
  <si>
    <t>40.01% - 50.00%</t>
  </si>
  <si>
    <t>50.01% - 60.00%</t>
  </si>
  <si>
    <t>60.01% - 70.00%</t>
  </si>
  <si>
    <t>70.01% - 80.00%</t>
  </si>
  <si>
    <t>80.01% - 90.00%</t>
  </si>
  <si>
    <t>2019-1</t>
  </si>
  <si>
    <t>Interest received on GIC accounts (excluding Yield Supplement GIC Account)</t>
  </si>
  <si>
    <t>Common funding reserve ledger</t>
  </si>
  <si>
    <t>Principal receipts to cover revenue deficit amount</t>
  </si>
  <si>
    <t>Senior payments</t>
  </si>
  <si>
    <t>Amounts payable to basis swap provider</t>
  </si>
  <si>
    <t>Class A principal deficiency sub ledger</t>
  </si>
  <si>
    <t>Funding liquidity reserve</t>
  </si>
  <si>
    <t>Class B principal deficiency sub ledger</t>
  </si>
  <si>
    <t>Class C principal deficiency sub ledger</t>
  </si>
  <si>
    <t>Class D principal deficiency sub ledger</t>
  </si>
  <si>
    <t>Interest, fees and any other amount paid by funding</t>
  </si>
  <si>
    <t>Interest earned on issuer accounts</t>
  </si>
  <si>
    <t>Amounts due to Class A Notes (including amounts due under the swap agreement)</t>
  </si>
  <si>
    <t>Amounts due to Class B Notes (including amounts due under the swap agreement)</t>
  </si>
  <si>
    <t>Interest Paid</t>
  </si>
  <si>
    <t>Principal Paid</t>
  </si>
  <si>
    <t>Interest Due</t>
  </si>
  <si>
    <t>38405JAA7</t>
  </si>
  <si>
    <t>O27383947</t>
  </si>
  <si>
    <t>38405JAD1</t>
  </si>
  <si>
    <t>38405JAH2</t>
  </si>
  <si>
    <t>Account Name: The Bank of New York, Brussels
The Bank of New York, London
/ 70-02-25/ 1538268260
Swift: IRVTGB2X
Ref: CT/LBurman GMF 2007-1 GBP amounts due</t>
  </si>
  <si>
    <t>Transaction Party</t>
  </si>
  <si>
    <t>Required Ratings</t>
  </si>
  <si>
    <t>Contractual Requirements if the ratings triggers are breached include the following:</t>
  </si>
  <si>
    <t xml:space="preserve">Issuer account bank </t>
  </si>
  <si>
    <t>Breached</t>
  </si>
  <si>
    <t>A-1</t>
  </si>
  <si>
    <t xml:space="preserve">Long Term </t>
  </si>
  <si>
    <t>% of accounts more than 3 months in arrears</t>
  </si>
  <si>
    <t>3+ months in arrears Mortgage Account Current Balance</t>
  </si>
  <si>
    <t>e) Seller originated new mortgage loans in accordance with relevant lending criteria</t>
  </si>
  <si>
    <t>j) No LN tranche/funding2 debt enforcement notice</t>
  </si>
  <si>
    <t xml:space="preserve">    (II)Mortgage Account WALS after new acccount addition</t>
  </si>
  <si>
    <t>Revenue Receipts to Funding No.2</t>
  </si>
  <si>
    <t>Age of mortgage account (months)</t>
  </si>
  <si>
    <t>2042</t>
  </si>
  <si>
    <t>Outstanding balances</t>
  </si>
  <si>
    <t>Series 2007-1</t>
  </si>
  <si>
    <t>AA-</t>
  </si>
  <si>
    <t>2043</t>
  </si>
  <si>
    <t>Aggregate account balance (£)</t>
  </si>
  <si>
    <t>Aggregate  account balance (£)</t>
  </si>
  <si>
    <t>% of total</t>
  </si>
  <si>
    <t>Agg. Balance exc. Res  (£)</t>
  </si>
  <si>
    <t>Aggregate Reserve Balance (£)</t>
  </si>
  <si>
    <t>Agg. Balance exc. Res (£)</t>
  </si>
  <si>
    <t>NOTICE TO NOTEHOLDERS</t>
  </si>
  <si>
    <t>Loan Note pre-enforcement fee and Class A Loan Note due amounts</t>
  </si>
  <si>
    <t>Remove???</t>
  </si>
  <si>
    <t>Bond Amortisation</t>
  </si>
  <si>
    <t>Principal Amount to be called</t>
  </si>
  <si>
    <t>38 - 40</t>
  </si>
  <si>
    <t>40+</t>
  </si>
  <si>
    <t>2012-4</t>
  </si>
  <si>
    <t>2013-1</t>
  </si>
  <si>
    <t>2017-4</t>
  </si>
  <si>
    <t>Accounts In Litigation Since Trust Establishment</t>
  </si>
  <si>
    <t>Account In Lititgation COB Last Month</t>
  </si>
  <si>
    <t>Accounts Moved To Litigation This Month</t>
  </si>
  <si>
    <t>Account Cured Of Litigation This Month</t>
  </si>
  <si>
    <t>Accounts Cured Of Litigation Since Trust Establishment</t>
  </si>
  <si>
    <t>Bank: Barclays Bank Plc, 54 Lombard Street, London
S/C: 20-00-00
Swift: BARCGB22
A/C: Barclays Swaps
A/C No.: 00152021</t>
  </si>
  <si>
    <t>Issuer Payment Dates</t>
  </si>
  <si>
    <t>20th day of February, May, August and November in each year</t>
  </si>
  <si>
    <t>Barclays Ratings</t>
  </si>
  <si>
    <t>Standard and Poor's</t>
  </si>
  <si>
    <t>Long Term</t>
  </si>
  <si>
    <t>Original WAL (years)</t>
  </si>
  <si>
    <t>A x B</t>
  </si>
  <si>
    <t>The required subordinated amount for each class is calculated, on any date, as the product of:</t>
  </si>
  <si>
    <t>B = the aggregate outstanding principal amount of all loan note tranches (after giving effect to any repayments of principal to be made on any loan note tranches on such date).</t>
  </si>
  <si>
    <t>Required Subordination Percentage</t>
  </si>
  <si>
    <t xml:space="preserve">(after giving effect to any repayments of principal to be made on any loan note tranches on such date) , (b) the amount standing to the credit of the common funding reserve          </t>
  </si>
  <si>
    <t xml:space="preserve">ledger on such date, (c) any segregated funding reserve funds which provide enhancement to any junior lone note tranches and (d) excess spread. (For the purposes of this           
</t>
  </si>
  <si>
    <t xml:space="preserve">A = the required subordination percentage for each class as specified in the related supplement to the global loan note for such loan note tranche           </t>
  </si>
  <si>
    <t xml:space="preserve"> £50,000 - £100,000</t>
  </si>
  <si>
    <t>2013-2</t>
  </si>
  <si>
    <t>2018-1</t>
  </si>
  <si>
    <t>Issuer Available Revenue Receipts</t>
  </si>
  <si>
    <t>Issuer Available Principal Receipts</t>
  </si>
  <si>
    <t xml:space="preserve">    (II)Mortgage Account WALS as of most recent issue date</t>
  </si>
  <si>
    <t>Last Issue Date Potential Loss  (I  times II)</t>
  </si>
  <si>
    <t>k) Moody's MPV test</t>
  </si>
  <si>
    <t>ACTUAL AMORTISATION</t>
  </si>
  <si>
    <t>UNPAID PRINCIPAL</t>
  </si>
  <si>
    <t>CONTROLLED AMORTISATION</t>
  </si>
  <si>
    <t>ACCUMULATED UNPAID PRINCIPAL</t>
  </si>
  <si>
    <t>Actual Outstanding</t>
  </si>
  <si>
    <t>IPD</t>
  </si>
  <si>
    <t>1) Controlled Amortisation Amount</t>
  </si>
  <si>
    <t>Total Amount</t>
  </si>
  <si>
    <t>3) Actual Amortisation</t>
  </si>
  <si>
    <t>4) Unpaid Principal</t>
  </si>
  <si>
    <t>5) Accumulated Unpaid Principal</t>
  </si>
  <si>
    <t>6) Actual Outstanding</t>
  </si>
  <si>
    <t>Class</t>
  </si>
  <si>
    <t>New loans have sufficient hedging arrangements</t>
  </si>
  <si>
    <t xml:space="preserve">n) No Event of Default </t>
  </si>
  <si>
    <t>WA Libor Margin on Trust post-addition of new loans</t>
  </si>
  <si>
    <t>p) WA LTV test</t>
  </si>
  <si>
    <t>Issue Date WA LTV</t>
  </si>
  <si>
    <t>WA LTV post-addition of new loans</t>
  </si>
  <si>
    <t>r) New loans comply with Reps  &amp; Warrs</t>
  </si>
  <si>
    <t>Test Pass/Fail (Potential Loss increase less/more than 0.25%)?</t>
  </si>
  <si>
    <t>F1+</t>
  </si>
  <si>
    <t>MORTGAGE ACCOUNT PORTFOLIO INFORMATION</t>
  </si>
  <si>
    <t>Years to maturity</t>
  </si>
  <si>
    <t xml:space="preserve"> % of total</t>
  </si>
  <si>
    <t>Number of mortgage accounts</t>
  </si>
  <si>
    <t>00 - 02</t>
  </si>
  <si>
    <t>02 - 04</t>
  </si>
  <si>
    <t>04 - 06</t>
  </si>
  <si>
    <t>06 - 08</t>
  </si>
  <si>
    <t>08 - 10</t>
  </si>
  <si>
    <t>10 - 12</t>
  </si>
  <si>
    <t>12 - 14</t>
  </si>
  <si>
    <t>14 - 16</t>
  </si>
  <si>
    <t>16 - 18</t>
  </si>
  <si>
    <t>18 - 20</t>
  </si>
  <si>
    <t>20 - 22</t>
  </si>
  <si>
    <t>22 - 24</t>
  </si>
  <si>
    <t>24 - 26</t>
  </si>
  <si>
    <t>26 - 28</t>
  </si>
  <si>
    <t>28 - 30</t>
  </si>
  <si>
    <t>30 - 32</t>
  </si>
  <si>
    <t>32 - 34</t>
  </si>
  <si>
    <t>34 - 36</t>
  </si>
  <si>
    <t>Seasoning of mortgage accounts</t>
  </si>
  <si>
    <t>Maturity</t>
  </si>
  <si>
    <t>2010</t>
  </si>
  <si>
    <t>2011</t>
  </si>
  <si>
    <t>2012</t>
  </si>
  <si>
    <t>2013</t>
  </si>
  <si>
    <t>2014</t>
  </si>
  <si>
    <t>2015</t>
  </si>
  <si>
    <t>2016</t>
  </si>
  <si>
    <t>2017</t>
  </si>
  <si>
    <t>2018</t>
  </si>
  <si>
    <t>Moody's portfolio variation test value post account addition</t>
  </si>
  <si>
    <t>Model to be run by Chris according to new pool</t>
  </si>
  <si>
    <t>m) New Loan Hedging</t>
  </si>
  <si>
    <t>o) WA Yield Test</t>
  </si>
  <si>
    <t>WA Yield Calculation Balance</t>
  </si>
  <si>
    <t>ROUNDED</t>
  </si>
  <si>
    <t>Initial Downgrade Event</t>
  </si>
  <si>
    <t>LN Amount (£)</t>
  </si>
  <si>
    <t>% of LN Notes Outstanding</t>
  </si>
  <si>
    <t>Point Contacts:</t>
  </si>
  <si>
    <t>i) Identify yield supplement supported loans and apply total balance to 75bps margin [for addition as of 1/12 only]</t>
  </si>
  <si>
    <t>ii) Identify non-supported loans and calculate WA margin as per the YSA account calculation</t>
  </si>
  <si>
    <t>iii) Sum reserve balances for both old and new loans and calculate WA margin as per YSA SVR loans margin calculations</t>
  </si>
  <si>
    <t>LTM Aggregate gross interest due</t>
  </si>
  <si>
    <t xml:space="preserve">Total </t>
  </si>
  <si>
    <t>Counterparty:  Gracechurch GMF Funding 1 Limited (Party B)</t>
  </si>
  <si>
    <t>GBP Recieves</t>
  </si>
  <si>
    <t>Counterparty: Gracechurch Mortgage Financing PLC (Party B)</t>
  </si>
  <si>
    <t>Liability Model:</t>
  </si>
  <si>
    <t>CCY Receives</t>
  </si>
  <si>
    <t>(Base Prospectus Pg 215)</t>
  </si>
  <si>
    <t>Principal Redeemed on 1st November 2010</t>
  </si>
  <si>
    <t>Z loan principal deficiency sub ledger</t>
  </si>
  <si>
    <t>Z Loan</t>
  </si>
  <si>
    <t>Barcap Swaps</t>
  </si>
  <si>
    <t>Beginning of Trust calculation period</t>
  </si>
  <si>
    <t>End of Trust calculation period</t>
  </si>
  <si>
    <t>Trust Payment Date</t>
  </si>
  <si>
    <t>Issuer Corporate Services Provider, Holdings Corporate Services Provider</t>
  </si>
  <si>
    <t>Actual waterfall repurchase minus above (Difference = MRCLN repurchases)</t>
  </si>
  <si>
    <t>Principal to cover funding revenue deficit amount</t>
  </si>
  <si>
    <t>Principal to cover funding (No.2) revenue deficit amount</t>
  </si>
  <si>
    <t>Net payment due next Funding IPD</t>
  </si>
  <si>
    <t xml:space="preserve">Subordination Calculation </t>
  </si>
  <si>
    <t>https://boeportal.co.uk/barclays/</t>
  </si>
  <si>
    <t>2045</t>
  </si>
  <si>
    <t>2046</t>
  </si>
  <si>
    <t xml:space="preserve">Principal outstanding post paydown &amp; call option </t>
  </si>
  <si>
    <t>https://live.irooms.net/BarclaysBoEdatahosting/</t>
  </si>
  <si>
    <t>Current Shortfall is net of any recoveries made post sale</t>
  </si>
  <si>
    <t>Call option wires value 21st May 2012</t>
  </si>
  <si>
    <t>TOTAL PRINCIPAL DUE (Bond Amortisation and call amounts)</t>
  </si>
  <si>
    <t>Series 2012-1</t>
  </si>
  <si>
    <t>XS0793289959</t>
  </si>
  <si>
    <t>2A</t>
  </si>
  <si>
    <t>XS0793290379</t>
  </si>
  <si>
    <t>XS0793290452</t>
  </si>
  <si>
    <t>4A</t>
  </si>
  <si>
    <t>XS0793290536</t>
  </si>
  <si>
    <t>5A</t>
  </si>
  <si>
    <t>XS0793290023</t>
  </si>
  <si>
    <t>6A</t>
  </si>
  <si>
    <t>XS0793290619</t>
  </si>
  <si>
    <t>079328995</t>
  </si>
  <si>
    <t>079329037</t>
  </si>
  <si>
    <t>079329045</t>
  </si>
  <si>
    <t>079329053</t>
  </si>
  <si>
    <t>079329002</t>
  </si>
  <si>
    <t>079329061</t>
  </si>
  <si>
    <t>XS0793290700</t>
  </si>
  <si>
    <t>079329070</t>
  </si>
  <si>
    <t>XS0705553443</t>
  </si>
  <si>
    <t>XS0705556974</t>
  </si>
  <si>
    <t>GMF 2006-1,2011-1, 2012-1</t>
  </si>
  <si>
    <t>Barclays / 40575062 / 20-70-41</t>
  </si>
  <si>
    <t xml:space="preserve">Repayment </t>
  </si>
  <si>
    <t>Mortgage Reserve Value</t>
  </si>
  <si>
    <t>Current Mortgage Reserve Balance</t>
  </si>
  <si>
    <t>MRT Revenue receipts</t>
  </si>
  <si>
    <t>MRT principal receipts</t>
  </si>
  <si>
    <t>MRT aggregate debt principal balancing amount</t>
  </si>
  <si>
    <r>
      <t xml:space="preserve">The "monthly CPR" means, on any trust determination date, the sum of the aggregate amount of mortgages trust principal receipts received by the mortgages trustee during the immediately preceding trust calculation period less the aggregate mortgage account debt principal balancing amount for such trust calculation period, divided by the sum of the aggregate outstanding principal balance of the mortgage loans included in the mortgage loan portfolio as at the immediately preceding trust determination date and the </t>
    </r>
    <r>
      <rPr>
        <sz val="7.5"/>
        <rFont val="Barclays Sans"/>
        <family val="2"/>
      </rPr>
      <t>MRT Trust value</t>
    </r>
    <r>
      <rPr>
        <sz val="10"/>
        <rFont val="Barclays Sans"/>
        <family val="2"/>
      </rPr>
      <t xml:space="preserve"> as at the immediately preceding trust determination date.</t>
    </r>
  </si>
  <si>
    <r>
      <t xml:space="preserve">The "monthly PPR" means for the purposes of the investor report, on any trust determination date, the sum of the aggregate amount of unscheduled mortgages trust principal receipts (including repurchases) received by the mortgages trustee during the immediately preceding trust calculation period less the aggregate mortgage reserve debt principal balancing amount for such trust calculation period, divided by the sum of the aggregate outstanding principal balance of the mortgage loans included in the mortgage loan portfolio as at the immediately preceding trust determination date and the </t>
    </r>
    <r>
      <rPr>
        <sz val="7.5"/>
        <rFont val="Barclays Sans"/>
        <family val="2"/>
      </rPr>
      <t>MRT Trust Value</t>
    </r>
    <r>
      <rPr>
        <sz val="10"/>
        <rFont val="Barclays Sans"/>
        <family val="2"/>
      </rPr>
      <t xml:space="preserve"> as at the immediately preceding trust determination date.</t>
    </r>
  </si>
  <si>
    <t>Principal Amount Outstanding pre May 13 call</t>
  </si>
  <si>
    <t>Principal Amount Outstanding pre May 13 call (£ eq.)</t>
  </si>
  <si>
    <t>USD STG EQUIV PAYMENT TO BARCAP</t>
  </si>
  <si>
    <t>01-April-13 to 30-April-13</t>
  </si>
  <si>
    <t>Trust Period 1-May-13 to 1-Jun-13</t>
  </si>
  <si>
    <t>Trust Period 1-Jun-13 to 1-Jul-13</t>
  </si>
  <si>
    <t>Trust Period 1-Jul-13 to 1-Aug-13</t>
  </si>
  <si>
    <t>20/05/13-19/06/13</t>
  </si>
  <si>
    <t>19/06/13-19/07/13</t>
  </si>
  <si>
    <t>19/07/13-19/08/13</t>
  </si>
  <si>
    <t>01-May-13 to 31-May-13</t>
  </si>
  <si>
    <t>148</t>
  </si>
  <si>
    <t>As of the 01 June 2013</t>
  </si>
  <si>
    <t>01-June-13 to 30-June-13</t>
  </si>
  <si>
    <t>As of the 01 July 2013</t>
  </si>
  <si>
    <t>1. After any repurchases and additions as of the 01 July 2013</t>
  </si>
  <si>
    <t>Mortgage Accounts repurchased as of 01 July 2013</t>
  </si>
  <si>
    <t>Mortgage Accounts added as of  01 July 2013</t>
  </si>
  <si>
    <t>Mortgage Assets (as of 01 July 2013 )</t>
  </si>
</sst>
</file>

<file path=xl/styles.xml><?xml version="1.0" encoding="utf-8"?>
<styleSheet xmlns="http://schemas.openxmlformats.org/spreadsheetml/2006/main">
  <numFmts count="49">
    <numFmt numFmtId="6" formatCode="&quot;£&quot;#,##0;[Red]\-&quot;£&quot;#,##0"/>
    <numFmt numFmtId="7" formatCode="&quot;£&quot;#,##0.00;\-&quot;£&quot;#,##0.00"/>
    <numFmt numFmtId="8" formatCode="&quot;£&quot;#,##0.00;[Red]\-&quot;£&quot;#,##0.00"/>
    <numFmt numFmtId="44" formatCode="_-&quot;£&quot;* #,##0.00_-;\-&quot;£&quot;* #,##0.00_-;_-&quot;£&quot;* &quot;-&quot;??_-;_-@_-"/>
    <numFmt numFmtId="43" formatCode="_-* #,##0.00_-;\-* #,##0.00_-;_-* &quot;-&quot;??_-;_-@_-"/>
    <numFmt numFmtId="164" formatCode="_-* #,##0.0_-;\-* #,##0.0_-;_-* &quot;-&quot;??_-;_-@_-"/>
    <numFmt numFmtId="165" formatCode="_-* #,##0_-;\-* #,##0_-;_-* &quot;-&quot;??_-;_-@_-"/>
    <numFmt numFmtId="166" formatCode="0.000%"/>
    <numFmt numFmtId="167" formatCode="0.0000%"/>
    <numFmt numFmtId="168" formatCode="0.00000%"/>
    <numFmt numFmtId="170" formatCode="0.0000"/>
    <numFmt numFmtId="171" formatCode="0.000000%"/>
    <numFmt numFmtId="172" formatCode="[$GBP]\ #,##0.00"/>
    <numFmt numFmtId="173" formatCode="_-* #,##0.0000_-;\-* #,##0.0000_-;_-* &quot;-&quot;??_-;_-@_-"/>
    <numFmt numFmtId="177" formatCode="_-* #,##0.00000_-;\-* #,##0.00000_-;_-* &quot;-&quot;??_-;_-@_-"/>
    <numFmt numFmtId="181" formatCode="&quot;£&quot;#,##0.00"/>
    <numFmt numFmtId="185" formatCode="[$$-409]#,##0.00"/>
    <numFmt numFmtId="186" formatCode="[$-809]dd\ mmmm\ yyyy;@"/>
    <numFmt numFmtId="187" formatCode="#,##0.00;[Red]#,##0.00"/>
    <numFmt numFmtId="188" formatCode="[$-809]d\ mmmm\ yyyy;@"/>
    <numFmt numFmtId="189" formatCode="#,##0;[Red]#,##0"/>
    <numFmt numFmtId="190" formatCode="_(* #,##0.00_);_(* \(#,##0.00\);_(* &quot;-  &quot;_);_(@_)"/>
    <numFmt numFmtId="191" formatCode="[$-F800]dddd\,\ mmmm\ dd\,\ yyyy"/>
    <numFmt numFmtId="192" formatCode="#,##0.000000;[Red]#,##0.000000"/>
    <numFmt numFmtId="193" formatCode="_-* #,##0.000_-;\-* #,##0.000_-;_-* &quot;-&quot;??_-;_-@_-"/>
    <numFmt numFmtId="194" formatCode="[$€-2]\ #,##0;[Red][$€-2]\ #,##0"/>
    <numFmt numFmtId="195" formatCode="&quot;£&quot;#,##0"/>
    <numFmt numFmtId="196" formatCode="\$\ #,##0"/>
    <numFmt numFmtId="197" formatCode="&quot;£&quot;\ #,##0.00_-;\-&quot;£&quot;\ #,##0.00_-;"/>
    <numFmt numFmtId="198" formatCode="#,##0.000_ ;\-#,##0.000\ "/>
    <numFmt numFmtId="199" formatCode="#,##0.00_ ;\-#,##0.00\ "/>
    <numFmt numFmtId="200" formatCode="_-[$€-2]* #,##0.00_-;\-[$€-2]* #,##0.00_-;_-[$€-2]* &quot;-&quot;??_-"/>
    <numFmt numFmtId="201" formatCode="[$€-2]\ #,##0.00"/>
    <numFmt numFmtId="202" formatCode="[$£-809]#,##0.00"/>
    <numFmt numFmtId="203" formatCode="\$\ #,##0.00000"/>
    <numFmt numFmtId="204" formatCode="[$£-809]#,##0;[Red][$£-809]#,##0"/>
    <numFmt numFmtId="205" formatCode="_-* #,##0.00000000_-;\-* #,##0.00000000_-;_-* &quot;-&quot;??_-;_-@_-"/>
    <numFmt numFmtId="207" formatCode="\€\ #,##0"/>
    <numFmt numFmtId="208" formatCode="&quot;£&quot;\ #,##0"/>
    <numFmt numFmtId="209" formatCode="[$$-409]#,##0;[Red][$$-409]#,##0"/>
    <numFmt numFmtId="210" formatCode="&quot;£&quot;#,##0;[Red]&quot;£&quot;#,##0"/>
    <numFmt numFmtId="211" formatCode="\$\ #,##0.00"/>
    <numFmt numFmtId="212" formatCode="[$€-2]\ #,##0.00;[Red][$€-2]\ #,##0.00"/>
    <numFmt numFmtId="213" formatCode="[$$-409]#,##0"/>
    <numFmt numFmtId="214" formatCode="_-* #,##0.0000_-;\-* #,##0.0000_-;_-* &quot;-&quot;????_-;_-@_-"/>
    <numFmt numFmtId="215" formatCode="_-* #,##0.0000000_-;\-* #,##0.0000000_-;_-* &quot;-&quot;??_-;_-@_-"/>
    <numFmt numFmtId="217" formatCode="_(* #,##0_);_(* \(#,##0\);_(* &quot;-&quot;??_);_(@_)"/>
    <numFmt numFmtId="218" formatCode="\€\ #,##0.00"/>
    <numFmt numFmtId="219" formatCode="&quot;£&quot;#,##0.00;[Red]&quot;£&quot;#,##0.00"/>
  </numFmts>
  <fonts count="66">
    <font>
      <sz val="10"/>
      <name val="Arial"/>
    </font>
    <font>
      <sz val="10"/>
      <name val="Arial"/>
      <family val="2"/>
    </font>
    <font>
      <b/>
      <u/>
      <sz val="10"/>
      <name val="Arial"/>
      <family val="2"/>
    </font>
    <font>
      <sz val="8"/>
      <name val="Arial"/>
      <family val="2"/>
    </font>
    <font>
      <sz val="10"/>
      <name val="Arial"/>
      <family val="2"/>
    </font>
    <font>
      <b/>
      <sz val="10"/>
      <name val="Arial"/>
      <family val="2"/>
    </font>
    <font>
      <sz val="8"/>
      <color indexed="81"/>
      <name val="Tahoma"/>
      <family val="2"/>
    </font>
    <font>
      <b/>
      <sz val="8"/>
      <color indexed="81"/>
      <name val="Tahoma"/>
      <family val="2"/>
    </font>
    <font>
      <u/>
      <sz val="10"/>
      <color indexed="12"/>
      <name val="Arial"/>
      <family val="2"/>
    </font>
    <font>
      <b/>
      <i/>
      <u/>
      <sz val="10"/>
      <name val="Barclays"/>
    </font>
    <font>
      <sz val="10"/>
      <name val="Barclays"/>
    </font>
    <font>
      <b/>
      <sz val="10"/>
      <name val="Barclays"/>
    </font>
    <font>
      <i/>
      <sz val="10"/>
      <name val="Barclays"/>
    </font>
    <font>
      <b/>
      <sz val="10"/>
      <color indexed="17"/>
      <name val="Barclays"/>
    </font>
    <font>
      <b/>
      <i/>
      <sz val="10"/>
      <name val="Barclays"/>
    </font>
    <font>
      <b/>
      <u/>
      <sz val="10"/>
      <name val="Barclays"/>
    </font>
    <font>
      <b/>
      <sz val="10"/>
      <color indexed="57"/>
      <name val="Barclays"/>
    </font>
    <font>
      <sz val="10"/>
      <color indexed="53"/>
      <name val="Barclays"/>
    </font>
    <font>
      <b/>
      <i/>
      <sz val="10"/>
      <color indexed="10"/>
      <name val="Barclays"/>
    </font>
    <font>
      <b/>
      <u/>
      <sz val="10"/>
      <name val="Barclays Sans"/>
      <family val="2"/>
    </font>
    <font>
      <sz val="10"/>
      <name val="Barclays Sans"/>
      <family val="2"/>
    </font>
    <font>
      <u/>
      <sz val="10"/>
      <name val="Barclays Sans"/>
      <family val="2"/>
    </font>
    <font>
      <b/>
      <sz val="10"/>
      <color indexed="10"/>
      <name val="Barclays Sans"/>
      <family val="2"/>
    </font>
    <font>
      <b/>
      <sz val="10"/>
      <name val="Barclays Sans"/>
      <family val="2"/>
    </font>
    <font>
      <i/>
      <sz val="10"/>
      <name val="Barclays Sans"/>
      <family val="2"/>
    </font>
    <font>
      <b/>
      <i/>
      <sz val="10"/>
      <name val="Barclays Sans"/>
      <family val="2"/>
    </font>
    <font>
      <b/>
      <i/>
      <u/>
      <sz val="10"/>
      <name val="Barclays Sans"/>
      <family val="2"/>
    </font>
    <font>
      <b/>
      <sz val="12"/>
      <name val="Barclays Sans"/>
      <family val="2"/>
    </font>
    <font>
      <b/>
      <sz val="10"/>
      <color indexed="10"/>
      <name val="Arial"/>
      <family val="2"/>
    </font>
    <font>
      <sz val="9"/>
      <name val="Arial"/>
      <family val="2"/>
    </font>
    <font>
      <i/>
      <u/>
      <sz val="10"/>
      <name val="Barclays Sans"/>
      <family val="2"/>
    </font>
    <font>
      <b/>
      <i/>
      <sz val="10"/>
      <name val="Arial"/>
      <family val="2"/>
    </font>
    <font>
      <sz val="10"/>
      <color indexed="10"/>
      <name val="Barclays Sans"/>
      <family val="2"/>
    </font>
    <font>
      <b/>
      <sz val="12"/>
      <name val="Arial"/>
      <family val="2"/>
    </font>
    <font>
      <sz val="10"/>
      <color indexed="12"/>
      <name val="Arial"/>
      <family val="2"/>
    </font>
    <font>
      <sz val="10"/>
      <color indexed="60"/>
      <name val="Barclays Sans"/>
      <family val="2"/>
    </font>
    <font>
      <b/>
      <sz val="10"/>
      <color indexed="63"/>
      <name val="Barclays Sans"/>
      <family val="2"/>
    </font>
    <font>
      <u/>
      <sz val="10"/>
      <color indexed="12"/>
      <name val="Barclays Sans"/>
      <family val="2"/>
    </font>
    <font>
      <sz val="10"/>
      <color indexed="9"/>
      <name val="Barclays Sans"/>
      <family val="2"/>
    </font>
    <font>
      <sz val="10"/>
      <color indexed="63"/>
      <name val="Barclays Sans"/>
      <family val="2"/>
    </font>
    <font>
      <b/>
      <sz val="10"/>
      <color indexed="9"/>
      <name val="Barclays"/>
    </font>
    <font>
      <b/>
      <sz val="10"/>
      <name val="Arial"/>
      <family val="2"/>
    </font>
    <font>
      <sz val="10"/>
      <name val="Arial"/>
      <family val="2"/>
    </font>
    <font>
      <b/>
      <sz val="10"/>
      <color indexed="63"/>
      <name val="Arial"/>
      <family val="2"/>
    </font>
    <font>
      <sz val="10"/>
      <color indexed="63"/>
      <name val="Arial"/>
      <family val="2"/>
    </font>
    <font>
      <vertAlign val="superscript"/>
      <sz val="10"/>
      <name val="Barclays Sans"/>
      <family val="2"/>
    </font>
    <font>
      <b/>
      <sz val="10"/>
      <color indexed="18"/>
      <name val="Arial"/>
      <family val="2"/>
    </font>
    <font>
      <i/>
      <vertAlign val="superscript"/>
      <sz val="10"/>
      <name val="Barclays Sans"/>
      <family val="2"/>
    </font>
    <font>
      <b/>
      <sz val="10"/>
      <color indexed="81"/>
      <name val="Tahoma"/>
      <family val="2"/>
    </font>
    <font>
      <b/>
      <i/>
      <u/>
      <sz val="10"/>
      <name val="Arial"/>
      <family val="2"/>
    </font>
    <font>
      <b/>
      <sz val="14"/>
      <name val="Barclays Sans"/>
      <family val="2"/>
    </font>
    <font>
      <sz val="14"/>
      <name val="Barclays Sans"/>
      <family val="2"/>
    </font>
    <font>
      <b/>
      <sz val="18"/>
      <name val="Barclays Sans"/>
      <family val="2"/>
    </font>
    <font>
      <b/>
      <sz val="16"/>
      <name val="Barclays Sans"/>
      <family val="2"/>
    </font>
    <font>
      <b/>
      <u/>
      <sz val="12"/>
      <name val="Barclays Sans"/>
      <family val="2"/>
    </font>
    <font>
      <b/>
      <u/>
      <sz val="14"/>
      <name val="Barclays Sans"/>
      <family val="2"/>
    </font>
    <font>
      <sz val="12"/>
      <name val="Barclays Sans"/>
      <family val="2"/>
    </font>
    <font>
      <b/>
      <sz val="12"/>
      <color indexed="81"/>
      <name val="Tahoma"/>
      <family val="2"/>
    </font>
    <font>
      <sz val="12"/>
      <color indexed="81"/>
      <name val="Tahoma"/>
      <family val="2"/>
    </font>
    <font>
      <sz val="12"/>
      <color indexed="9"/>
      <name val="Barclays Sans"/>
      <family val="2"/>
    </font>
    <font>
      <b/>
      <sz val="11"/>
      <color indexed="81"/>
      <name val="Tahoma"/>
      <family val="2"/>
    </font>
    <font>
      <sz val="11"/>
      <color indexed="81"/>
      <name val="Tahoma"/>
      <family val="2"/>
    </font>
    <font>
      <sz val="10"/>
      <color indexed="81"/>
      <name val="Tahoma"/>
      <family val="2"/>
    </font>
    <font>
      <b/>
      <sz val="10"/>
      <color indexed="9"/>
      <name val="Barclays Sans"/>
      <family val="2"/>
    </font>
    <font>
      <sz val="10"/>
      <color rgb="FFFF0000"/>
      <name val="Barclays Sans"/>
      <family val="2"/>
    </font>
    <font>
      <sz val="7.5"/>
      <name val="Barclays Sans"/>
      <family val="2"/>
    </font>
  </fonts>
  <fills count="23">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indexed="42"/>
        <bgColor indexed="64"/>
      </patternFill>
    </fill>
    <fill>
      <patternFill patternType="solid">
        <fgColor indexed="22"/>
        <bgColor indexed="64"/>
      </patternFill>
    </fill>
    <fill>
      <patternFill patternType="solid">
        <fgColor indexed="55"/>
        <bgColor indexed="64"/>
      </patternFill>
    </fill>
    <fill>
      <patternFill patternType="solid">
        <fgColor indexed="34"/>
        <bgColor indexed="64"/>
      </patternFill>
    </fill>
    <fill>
      <patternFill patternType="solid">
        <fgColor indexed="50"/>
        <bgColor indexed="64"/>
      </patternFill>
    </fill>
    <fill>
      <patternFill patternType="solid">
        <fgColor indexed="24"/>
        <bgColor indexed="64"/>
      </patternFill>
    </fill>
    <fill>
      <patternFill patternType="solid">
        <fgColor indexed="43"/>
        <bgColor indexed="64"/>
      </patternFill>
    </fill>
    <fill>
      <patternFill patternType="solid">
        <fgColor indexed="52"/>
        <bgColor indexed="64"/>
      </patternFill>
    </fill>
    <fill>
      <patternFill patternType="solid">
        <fgColor indexed="65"/>
        <bgColor indexed="64"/>
      </patternFill>
    </fill>
    <fill>
      <patternFill patternType="gray0625">
        <fgColor indexed="44"/>
        <bgColor indexed="9"/>
      </patternFill>
    </fill>
    <fill>
      <patternFill patternType="solid">
        <fgColor indexed="47"/>
        <bgColor indexed="64"/>
      </patternFill>
    </fill>
    <fill>
      <patternFill patternType="solid">
        <fgColor theme="0"/>
        <bgColor indexed="64"/>
      </patternFill>
    </fill>
    <fill>
      <patternFill patternType="solid">
        <fgColor rgb="FFFFFF99"/>
        <bgColor indexed="64"/>
      </patternFill>
    </fill>
    <fill>
      <patternFill patternType="solid">
        <fgColor rgb="FFFFFFFF"/>
        <bgColor indexed="64"/>
      </patternFill>
    </fill>
    <fill>
      <patternFill patternType="gray0625">
        <fgColor theme="8" tint="0.59996337778862885"/>
        <bgColor rgb="FFFFFFFF"/>
      </patternFill>
    </fill>
    <fill>
      <patternFill patternType="solid">
        <fgColor rgb="FFCCFFCC"/>
        <bgColor indexed="64"/>
      </patternFill>
    </fill>
    <fill>
      <patternFill patternType="solid">
        <fgColor rgb="FFFFFF00"/>
        <bgColor indexed="64"/>
      </patternFill>
    </fill>
    <fill>
      <patternFill patternType="solid">
        <fgColor theme="8" tint="0.59999389629810485"/>
        <bgColor indexed="64"/>
      </patternFill>
    </fill>
    <fill>
      <patternFill patternType="solid">
        <fgColor auto="1"/>
        <bgColor indexed="64"/>
      </patternFill>
    </fill>
  </fills>
  <borders count="48">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double">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8"/>
      </left>
      <right/>
      <top style="thin">
        <color indexed="8"/>
      </top>
      <bottom/>
      <diagonal/>
    </border>
    <border>
      <left style="thin">
        <color indexed="8"/>
      </left>
      <right style="thin">
        <color indexed="8"/>
      </right>
      <top style="thin">
        <color indexed="8"/>
      </top>
      <bottom/>
      <diagonal/>
    </border>
    <border>
      <left style="thin">
        <color indexed="8"/>
      </left>
      <right/>
      <top/>
      <bottom/>
      <diagonal/>
    </border>
    <border>
      <left style="thin">
        <color indexed="8"/>
      </left>
      <right style="thin">
        <color indexed="8"/>
      </right>
      <top/>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ck">
        <color indexed="64"/>
      </bottom>
      <diagonal/>
    </border>
    <border>
      <left/>
      <right/>
      <top/>
      <bottom style="thick">
        <color indexed="64"/>
      </bottom>
      <diagonal/>
    </border>
    <border>
      <left style="thin">
        <color indexed="64"/>
      </left>
      <right style="medium">
        <color indexed="64"/>
      </right>
      <top/>
      <bottom style="thick">
        <color indexed="64"/>
      </bottom>
      <diagonal/>
    </border>
  </borders>
  <cellStyleXfs count="8">
    <xf numFmtId="0" fontId="0" fillId="0" borderId="0"/>
    <xf numFmtId="43" fontId="1" fillId="0" borderId="0" applyFont="0" applyFill="0" applyBorder="0" applyAlignment="0" applyProtection="0"/>
    <xf numFmtId="200" fontId="1" fillId="0" borderId="0" applyFont="0" applyFill="0" applyBorder="0" applyAlignment="0" applyProtection="0"/>
    <xf numFmtId="0" fontId="8" fillId="0" borderId="0" applyNumberFormat="0" applyFill="0" applyBorder="0" applyAlignment="0" applyProtection="0">
      <alignment vertical="top"/>
      <protection locked="0"/>
    </xf>
    <xf numFmtId="0" fontId="10" fillId="0" borderId="0"/>
    <xf numFmtId="0" fontId="1" fillId="0" borderId="0"/>
    <xf numFmtId="0" fontId="1" fillId="0" borderId="0"/>
    <xf numFmtId="9" fontId="1" fillId="0" borderId="0" applyFont="0" applyFill="0" applyBorder="0" applyAlignment="0" applyProtection="0"/>
  </cellStyleXfs>
  <cellXfs count="1648">
    <xf numFmtId="0" fontId="0" fillId="0" borderId="0" xfId="0"/>
    <xf numFmtId="0" fontId="9" fillId="2" borderId="0" xfId="0" applyFont="1" applyFill="1"/>
    <xf numFmtId="0" fontId="10" fillId="2" borderId="0" xfId="0" applyFont="1" applyFill="1"/>
    <xf numFmtId="0" fontId="11" fillId="2" borderId="0" xfId="0" applyFont="1" applyFill="1"/>
    <xf numFmtId="0" fontId="12" fillId="2" borderId="0" xfId="0" applyFont="1" applyFill="1"/>
    <xf numFmtId="0" fontId="12" fillId="2" borderId="0" xfId="0" applyFont="1" applyFill="1" applyAlignment="1">
      <alignment horizontal="right"/>
    </xf>
    <xf numFmtId="0" fontId="14" fillId="2" borderId="0" xfId="0" applyFont="1" applyFill="1"/>
    <xf numFmtId="0" fontId="15" fillId="2" borderId="0" xfId="0" applyFont="1" applyFill="1" applyBorder="1"/>
    <xf numFmtId="0" fontId="10" fillId="2" borderId="1" xfId="0" applyFont="1" applyFill="1" applyBorder="1"/>
    <xf numFmtId="0" fontId="10" fillId="2" borderId="0" xfId="0" applyFont="1" applyFill="1" applyBorder="1"/>
    <xf numFmtId="0" fontId="10" fillId="2" borderId="2" xfId="0" applyFont="1" applyFill="1" applyBorder="1"/>
    <xf numFmtId="0" fontId="16" fillId="2" borderId="0" xfId="0" applyFont="1" applyFill="1" applyBorder="1"/>
    <xf numFmtId="0" fontId="16" fillId="2" borderId="2" xfId="0" applyFont="1" applyFill="1" applyBorder="1"/>
    <xf numFmtId="0" fontId="10" fillId="2" borderId="3" xfId="0" applyFont="1" applyFill="1" applyBorder="1"/>
    <xf numFmtId="0" fontId="10" fillId="2" borderId="4" xfId="0" applyFont="1" applyFill="1" applyBorder="1"/>
    <xf numFmtId="0" fontId="10" fillId="2" borderId="5" xfId="0" applyFont="1" applyFill="1" applyBorder="1"/>
    <xf numFmtId="0" fontId="16" fillId="2" borderId="0" xfId="0" applyFont="1" applyFill="1"/>
    <xf numFmtId="0" fontId="15" fillId="2" borderId="0" xfId="0" applyFont="1" applyFill="1" applyAlignment="1">
      <alignment horizontal="center"/>
    </xf>
    <xf numFmtId="0" fontId="15" fillId="2" borderId="0" xfId="0" applyFont="1" applyFill="1"/>
    <xf numFmtId="0" fontId="10" fillId="2" borderId="0" xfId="0" applyFont="1" applyFill="1" applyAlignment="1">
      <alignment wrapText="1"/>
    </xf>
    <xf numFmtId="0" fontId="10" fillId="2" borderId="0" xfId="0" applyFont="1" applyFill="1" applyAlignment="1">
      <alignment horizontal="center" wrapText="1"/>
    </xf>
    <xf numFmtId="0" fontId="13" fillId="2" borderId="0" xfId="0" applyFont="1" applyFill="1" applyAlignment="1">
      <alignment horizontal="center"/>
    </xf>
    <xf numFmtId="10" fontId="10" fillId="2" borderId="6" xfId="7" applyNumberFormat="1" applyFont="1" applyFill="1" applyBorder="1" applyAlignment="1">
      <alignment horizontal="center"/>
    </xf>
    <xf numFmtId="0" fontId="10" fillId="2" borderId="0" xfId="0" applyFont="1" applyFill="1" applyAlignment="1">
      <alignment horizontal="center"/>
    </xf>
    <xf numFmtId="0" fontId="16" fillId="2" borderId="0" xfId="0" applyFont="1" applyFill="1" applyAlignment="1">
      <alignment horizontal="center"/>
    </xf>
    <xf numFmtId="0" fontId="10" fillId="2" borderId="7" xfId="0" applyFont="1" applyFill="1" applyBorder="1" applyAlignment="1">
      <alignment horizontal="center"/>
    </xf>
    <xf numFmtId="0" fontId="9" fillId="2" borderId="0" xfId="0" applyFont="1" applyFill="1" applyAlignment="1">
      <alignment wrapText="1"/>
    </xf>
    <xf numFmtId="0" fontId="10" fillId="2" borderId="0" xfId="0" applyFont="1" applyFill="1" applyAlignment="1">
      <alignment horizontal="right"/>
    </xf>
    <xf numFmtId="0" fontId="10" fillId="2" borderId="8" xfId="0" applyFont="1" applyFill="1" applyBorder="1"/>
    <xf numFmtId="165" fontId="10" fillId="2" borderId="0" xfId="0" applyNumberFormat="1" applyFont="1" applyFill="1" applyAlignment="1">
      <alignment horizontal="center"/>
    </xf>
    <xf numFmtId="10" fontId="17" fillId="2" borderId="0" xfId="0" applyNumberFormat="1" applyFont="1" applyFill="1" applyAlignment="1">
      <alignment horizontal="center"/>
    </xf>
    <xf numFmtId="0" fontId="18" fillId="2" borderId="0" xfId="0" applyFont="1" applyFill="1"/>
    <xf numFmtId="0" fontId="19" fillId="2" borderId="0" xfId="0" applyFont="1" applyFill="1"/>
    <xf numFmtId="0" fontId="20" fillId="2" borderId="0" xfId="0" applyFont="1" applyFill="1"/>
    <xf numFmtId="43" fontId="20" fillId="2" borderId="0" xfId="1" applyFont="1" applyFill="1"/>
    <xf numFmtId="0" fontId="20" fillId="2" borderId="0" xfId="0" applyFont="1" applyFill="1" applyBorder="1"/>
    <xf numFmtId="43" fontId="20" fillId="2" borderId="0" xfId="0" applyNumberFormat="1" applyFont="1" applyFill="1"/>
    <xf numFmtId="0" fontId="20" fillId="0" borderId="0" xfId="5" applyFont="1"/>
    <xf numFmtId="0" fontId="20" fillId="0" borderId="0" xfId="5" applyFont="1" applyAlignment="1">
      <alignment wrapText="1"/>
    </xf>
    <xf numFmtId="0" fontId="20" fillId="0" borderId="0" xfId="5" applyFont="1" applyAlignment="1">
      <alignment horizontal="center" wrapText="1"/>
    </xf>
    <xf numFmtId="15" fontId="20" fillId="0" borderId="0" xfId="5" applyNumberFormat="1" applyFont="1"/>
    <xf numFmtId="165" fontId="20" fillId="0" borderId="0" xfId="1" applyNumberFormat="1" applyFont="1"/>
    <xf numFmtId="165" fontId="20" fillId="0" borderId="0" xfId="5" applyNumberFormat="1" applyFont="1" applyAlignment="1">
      <alignment wrapText="1"/>
    </xf>
    <xf numFmtId="165" fontId="20" fillId="0" borderId="0" xfId="5" applyNumberFormat="1" applyFont="1"/>
    <xf numFmtId="15" fontId="20" fillId="3" borderId="0" xfId="5" applyNumberFormat="1" applyFont="1" applyFill="1"/>
    <xf numFmtId="0" fontId="20" fillId="3" borderId="0" xfId="5" applyFont="1" applyFill="1"/>
    <xf numFmtId="0" fontId="20" fillId="2" borderId="0" xfId="0" applyFont="1" applyFill="1" applyAlignment="1">
      <alignment wrapText="1"/>
    </xf>
    <xf numFmtId="0" fontId="20" fillId="2" borderId="0" xfId="0" applyFont="1" applyFill="1" applyBorder="1" applyAlignment="1">
      <alignment wrapText="1"/>
    </xf>
    <xf numFmtId="0" fontId="20" fillId="2" borderId="0" xfId="0" applyFont="1" applyFill="1" applyAlignment="1">
      <alignment vertical="top" wrapText="1"/>
    </xf>
    <xf numFmtId="0" fontId="20" fillId="2" borderId="0" xfId="0" applyFont="1" applyFill="1" applyBorder="1" applyAlignment="1">
      <alignment vertical="top" wrapText="1"/>
    </xf>
    <xf numFmtId="43" fontId="20" fillId="2" borderId="7" xfId="1" applyNumberFormat="1" applyFont="1" applyFill="1" applyBorder="1" applyAlignment="1">
      <alignment vertical="top" wrapText="1"/>
    </xf>
    <xf numFmtId="0" fontId="20" fillId="2" borderId="0" xfId="0" applyFont="1" applyFill="1" applyAlignment="1">
      <alignment vertical="top"/>
    </xf>
    <xf numFmtId="0" fontId="20" fillId="2" borderId="0" xfId="0" applyFont="1" applyFill="1" applyBorder="1" applyAlignment="1">
      <alignment vertical="top"/>
    </xf>
    <xf numFmtId="0" fontId="20" fillId="2" borderId="9" xfId="0" applyFont="1" applyFill="1" applyBorder="1" applyAlignment="1">
      <alignment vertical="top" wrapText="1"/>
    </xf>
    <xf numFmtId="0" fontId="20" fillId="2" borderId="1" xfId="0" applyFont="1" applyFill="1" applyBorder="1" applyAlignment="1">
      <alignment vertical="top" wrapText="1"/>
    </xf>
    <xf numFmtId="0" fontId="20" fillId="2" borderId="5" xfId="0" applyFont="1" applyFill="1" applyBorder="1" applyAlignment="1">
      <alignment vertical="top"/>
    </xf>
    <xf numFmtId="165" fontId="20" fillId="2" borderId="0" xfId="1" applyNumberFormat="1" applyFont="1" applyFill="1"/>
    <xf numFmtId="0" fontId="20" fillId="2" borderId="0" xfId="0" applyFont="1" applyFill="1" applyAlignment="1">
      <alignment horizontal="center" wrapText="1"/>
    </xf>
    <xf numFmtId="43" fontId="20" fillId="2" borderId="0" xfId="0" applyNumberFormat="1" applyFont="1" applyFill="1" applyBorder="1"/>
    <xf numFmtId="10" fontId="20" fillId="2" borderId="0" xfId="0" applyNumberFormat="1" applyFont="1" applyFill="1"/>
    <xf numFmtId="0" fontId="23" fillId="0" borderId="0" xfId="5" applyFont="1" applyAlignment="1">
      <alignment wrapText="1"/>
    </xf>
    <xf numFmtId="0" fontId="23" fillId="0" borderId="0" xfId="5" applyFont="1"/>
    <xf numFmtId="0" fontId="27" fillId="0" borderId="0" xfId="5" applyFont="1" applyAlignment="1">
      <alignment wrapText="1"/>
    </xf>
    <xf numFmtId="165" fontId="20" fillId="4" borderId="0" xfId="5" applyNumberFormat="1" applyFont="1" applyFill="1" applyAlignment="1">
      <alignment wrapText="1"/>
    </xf>
    <xf numFmtId="165" fontId="23" fillId="0" borderId="0" xfId="5" applyNumberFormat="1" applyFont="1"/>
    <xf numFmtId="0" fontId="20" fillId="2" borderId="2" xfId="0" applyFont="1" applyFill="1" applyBorder="1"/>
    <xf numFmtId="0" fontId="20" fillId="2" borderId="11" xfId="0" applyFont="1" applyFill="1" applyBorder="1"/>
    <xf numFmtId="0" fontId="20" fillId="2" borderId="5" xfId="0" applyFont="1" applyFill="1" applyBorder="1"/>
    <xf numFmtId="0" fontId="25" fillId="2" borderId="0" xfId="0" applyFont="1" applyFill="1" applyAlignment="1">
      <alignment horizontal="right"/>
    </xf>
    <xf numFmtId="0" fontId="20" fillId="2" borderId="0" xfId="0" applyFont="1" applyFill="1" applyAlignment="1"/>
    <xf numFmtId="0" fontId="22" fillId="2" borderId="0" xfId="0" applyFont="1" applyFill="1" applyAlignment="1"/>
    <xf numFmtId="43" fontId="20" fillId="0" borderId="0" xfId="1" applyNumberFormat="1" applyFont="1"/>
    <xf numFmtId="43" fontId="20" fillId="3" borderId="0" xfId="1" applyNumberFormat="1" applyFont="1" applyFill="1"/>
    <xf numFmtId="0" fontId="1" fillId="0" borderId="0" xfId="5"/>
    <xf numFmtId="0" fontId="1" fillId="0" borderId="0" xfId="5" applyFont="1"/>
    <xf numFmtId="15" fontId="1" fillId="0" borderId="0" xfId="5" applyNumberFormat="1"/>
    <xf numFmtId="165" fontId="1" fillId="0" borderId="0" xfId="1" applyNumberFormat="1"/>
    <xf numFmtId="165" fontId="1" fillId="7" borderId="0" xfId="1" applyNumberFormat="1" applyFill="1"/>
    <xf numFmtId="0" fontId="20" fillId="2" borderId="0" xfId="0" applyFont="1" applyFill="1" applyAlignment="1">
      <alignment horizontal="left" wrapText="1"/>
    </xf>
    <xf numFmtId="181" fontId="20" fillId="2" borderId="0" xfId="0" applyNumberFormat="1" applyFont="1" applyFill="1"/>
    <xf numFmtId="0" fontId="20" fillId="5" borderId="0" xfId="0" applyFont="1" applyFill="1"/>
    <xf numFmtId="0" fontId="24" fillId="2" borderId="0" xfId="0" applyFont="1" applyFill="1" applyAlignment="1">
      <alignment wrapText="1"/>
    </xf>
    <xf numFmtId="43" fontId="20" fillId="0" borderId="0" xfId="5" applyNumberFormat="1" applyFont="1" applyAlignment="1">
      <alignment wrapText="1"/>
    </xf>
    <xf numFmtId="0" fontId="31" fillId="0" borderId="0" xfId="5" applyFont="1"/>
    <xf numFmtId="170" fontId="1" fillId="0" borderId="0" xfId="5" applyNumberFormat="1"/>
    <xf numFmtId="43" fontId="20" fillId="4" borderId="0" xfId="5" applyNumberFormat="1" applyFont="1" applyFill="1" applyAlignment="1">
      <alignment wrapText="1"/>
    </xf>
    <xf numFmtId="0" fontId="23" fillId="2" borderId="0" xfId="0" applyFont="1" applyFill="1"/>
    <xf numFmtId="43" fontId="0" fillId="0" borderId="0" xfId="0" applyNumberFormat="1"/>
    <xf numFmtId="0" fontId="20" fillId="2" borderId="10" xfId="0" applyFont="1" applyFill="1" applyBorder="1"/>
    <xf numFmtId="0" fontId="20" fillId="2" borderId="4" xfId="0" applyFont="1" applyFill="1" applyBorder="1"/>
    <xf numFmtId="177" fontId="1" fillId="0" borderId="0" xfId="1" applyNumberFormat="1"/>
    <xf numFmtId="0" fontId="0" fillId="0" borderId="0" xfId="0" applyAlignment="1">
      <alignment vertical="top" wrapText="1"/>
    </xf>
    <xf numFmtId="0" fontId="5" fillId="0" borderId="0" xfId="0" applyFont="1"/>
    <xf numFmtId="0" fontId="2" fillId="0" borderId="0" xfId="0" applyFont="1"/>
    <xf numFmtId="0" fontId="34" fillId="0" borderId="0" xfId="3" applyFont="1" applyFill="1" applyBorder="1" applyAlignment="1" applyProtection="1">
      <alignment horizontal="left" vertical="top" wrapText="1"/>
    </xf>
    <xf numFmtId="0" fontId="0" fillId="0" borderId="0" xfId="0" applyAlignment="1">
      <alignment vertical="top"/>
    </xf>
    <xf numFmtId="168" fontId="0" fillId="0" borderId="0" xfId="7" applyNumberFormat="1" applyFont="1"/>
    <xf numFmtId="181" fontId="0" fillId="0" borderId="0" xfId="0" applyNumberFormat="1"/>
    <xf numFmtId="0" fontId="0" fillId="0" borderId="0" xfId="0" applyAlignment="1">
      <alignment wrapText="1"/>
    </xf>
    <xf numFmtId="43" fontId="20" fillId="0" borderId="0" xfId="5" applyNumberFormat="1" applyFont="1"/>
    <xf numFmtId="0" fontId="2" fillId="0" borderId="0" xfId="0" applyFont="1" applyAlignment="1">
      <alignment vertical="top"/>
    </xf>
    <xf numFmtId="0" fontId="0" fillId="5" borderId="0" xfId="0" applyFill="1"/>
    <xf numFmtId="0" fontId="0" fillId="5" borderId="0" xfId="0" applyFill="1" applyAlignment="1">
      <alignment vertical="top"/>
    </xf>
    <xf numFmtId="0" fontId="2" fillId="5" borderId="0" xfId="0" applyFont="1" applyFill="1"/>
    <xf numFmtId="0" fontId="5" fillId="5" borderId="0" xfId="0" applyFont="1" applyFill="1"/>
    <xf numFmtId="0" fontId="31" fillId="0" borderId="0" xfId="0" applyFont="1"/>
    <xf numFmtId="0" fontId="20" fillId="2" borderId="0" xfId="5" applyFont="1" applyFill="1"/>
    <xf numFmtId="187" fontId="20" fillId="2" borderId="0" xfId="0" applyNumberFormat="1" applyFont="1" applyFill="1" applyAlignment="1">
      <alignment horizontal="right"/>
    </xf>
    <xf numFmtId="10" fontId="20" fillId="2" borderId="0" xfId="0" applyNumberFormat="1" applyFont="1" applyFill="1" applyAlignment="1">
      <alignment vertical="top"/>
    </xf>
    <xf numFmtId="187" fontId="20" fillId="2" borderId="0" xfId="0" applyNumberFormat="1" applyFont="1" applyFill="1" applyAlignment="1">
      <alignment horizontal="right" vertical="top"/>
    </xf>
    <xf numFmtId="187" fontId="20" fillId="2" borderId="0" xfId="0" applyNumberFormat="1" applyFont="1" applyFill="1" applyAlignment="1">
      <alignment horizontal="center"/>
    </xf>
    <xf numFmtId="0" fontId="20" fillId="2" borderId="0" xfId="0" applyFont="1" applyFill="1" applyAlignment="1">
      <alignment horizontal="center"/>
    </xf>
    <xf numFmtId="187" fontId="20" fillId="2" borderId="0" xfId="0" applyNumberFormat="1" applyFont="1" applyFill="1" applyAlignment="1">
      <alignment horizontal="right" wrapText="1"/>
    </xf>
    <xf numFmtId="187" fontId="20" fillId="2" borderId="7" xfId="0" applyNumberFormat="1" applyFont="1" applyFill="1" applyBorder="1" applyAlignment="1">
      <alignment horizontal="right"/>
    </xf>
    <xf numFmtId="0" fontId="20" fillId="2" borderId="0" xfId="0" applyFont="1" applyFill="1" applyBorder="1" applyAlignment="1"/>
    <xf numFmtId="0" fontId="19" fillId="2" borderId="0" xfId="0" applyFont="1" applyFill="1" applyAlignment="1"/>
    <xf numFmtId="0" fontId="35" fillId="2" borderId="0" xfId="0" applyFont="1" applyFill="1" applyAlignment="1"/>
    <xf numFmtId="0" fontId="35" fillId="2" borderId="0" xfId="0" applyFont="1" applyFill="1" applyAlignment="1">
      <alignment horizontal="right"/>
    </xf>
    <xf numFmtId="43" fontId="35" fillId="2" borderId="0" xfId="1" applyFont="1" applyFill="1" applyAlignment="1">
      <alignment horizontal="right"/>
    </xf>
    <xf numFmtId="188" fontId="20" fillId="2" borderId="0" xfId="0" applyNumberFormat="1" applyFont="1" applyFill="1"/>
    <xf numFmtId="173" fontId="1" fillId="0" borderId="0" xfId="1" applyNumberFormat="1"/>
    <xf numFmtId="0" fontId="38" fillId="2" borderId="0" xfId="0" applyFont="1" applyFill="1"/>
    <xf numFmtId="0" fontId="40" fillId="2" borderId="0" xfId="0" applyFont="1" applyFill="1" applyBorder="1" applyAlignment="1">
      <alignment horizontal="center"/>
    </xf>
    <xf numFmtId="190" fontId="40" fillId="2" borderId="0" xfId="0" applyNumberFormat="1" applyFont="1" applyFill="1" applyBorder="1" applyAlignment="1">
      <alignment horizontal="center"/>
    </xf>
    <xf numFmtId="0" fontId="23" fillId="2" borderId="0" xfId="0" applyFont="1" applyFill="1" applyBorder="1"/>
    <xf numFmtId="0" fontId="20" fillId="2" borderId="0" xfId="5" applyFont="1" applyFill="1" applyBorder="1"/>
    <xf numFmtId="0" fontId="32" fillId="2" borderId="0" xfId="0" applyFont="1" applyFill="1" applyBorder="1"/>
    <xf numFmtId="0" fontId="8" fillId="0" borderId="0" xfId="3" applyAlignment="1" applyProtection="1"/>
    <xf numFmtId="0" fontId="5" fillId="0" borderId="0" xfId="0" applyFont="1" applyFill="1"/>
    <xf numFmtId="0" fontId="0" fillId="0" borderId="0" xfId="0" applyFill="1"/>
    <xf numFmtId="14" fontId="5" fillId="8" borderId="0" xfId="0" applyNumberFormat="1" applyFont="1" applyFill="1"/>
    <xf numFmtId="0" fontId="0" fillId="0" borderId="18" xfId="0" applyBorder="1"/>
    <xf numFmtId="0" fontId="0" fillId="0" borderId="19" xfId="0" applyBorder="1"/>
    <xf numFmtId="2" fontId="5" fillId="0" borderId="0" xfId="0" applyNumberFormat="1" applyFont="1" applyFill="1"/>
    <xf numFmtId="43" fontId="0" fillId="0" borderId="19" xfId="0" applyNumberFormat="1" applyBorder="1"/>
    <xf numFmtId="0" fontId="0" fillId="0" borderId="20" xfId="0" applyBorder="1"/>
    <xf numFmtId="43" fontId="0" fillId="0" borderId="21" xfId="0" applyNumberFormat="1" applyBorder="1"/>
    <xf numFmtId="0" fontId="43" fillId="9" borderId="0" xfId="0" applyFont="1" applyFill="1"/>
    <xf numFmtId="0" fontId="5" fillId="7" borderId="14" xfId="0" applyFont="1" applyFill="1" applyBorder="1"/>
    <xf numFmtId="165" fontId="5" fillId="7" borderId="14" xfId="1" applyNumberFormat="1" applyFont="1" applyFill="1" applyBorder="1"/>
    <xf numFmtId="43" fontId="5" fillId="7" borderId="14" xfId="1" applyFont="1" applyFill="1" applyBorder="1"/>
    <xf numFmtId="0" fontId="0" fillId="0" borderId="22" xfId="0" applyBorder="1"/>
    <xf numFmtId="43" fontId="0" fillId="0" borderId="23" xfId="0" applyNumberFormat="1" applyBorder="1"/>
    <xf numFmtId="43" fontId="5" fillId="10" borderId="14" xfId="1" applyFont="1" applyFill="1" applyBorder="1"/>
    <xf numFmtId="0" fontId="0" fillId="11" borderId="0" xfId="0" applyFill="1"/>
    <xf numFmtId="43" fontId="0" fillId="11" borderId="0" xfId="0" applyNumberFormat="1" applyFill="1"/>
    <xf numFmtId="167" fontId="5" fillId="8" borderId="0" xfId="7" applyNumberFormat="1" applyFont="1" applyFill="1"/>
    <xf numFmtId="168" fontId="5" fillId="8" borderId="0" xfId="7" applyNumberFormat="1" applyFont="1" applyFill="1"/>
    <xf numFmtId="167" fontId="5" fillId="7" borderId="14" xfId="7" applyNumberFormat="1" applyFont="1" applyFill="1" applyBorder="1"/>
    <xf numFmtId="0" fontId="0" fillId="0" borderId="0" xfId="0" applyFill="1" applyBorder="1"/>
    <xf numFmtId="0" fontId="44" fillId="0" borderId="0" xfId="0" applyFont="1" applyFill="1" applyBorder="1"/>
    <xf numFmtId="14" fontId="44" fillId="0" borderId="0" xfId="0" applyNumberFormat="1" applyFont="1" applyFill="1" applyBorder="1"/>
    <xf numFmtId="0" fontId="10" fillId="0" borderId="0" xfId="0" applyFont="1" applyFill="1" applyBorder="1" applyAlignment="1">
      <alignment horizontal="center"/>
    </xf>
    <xf numFmtId="195" fontId="10" fillId="0" borderId="0" xfId="0" applyNumberFormat="1" applyFont="1" applyFill="1" applyBorder="1" applyAlignment="1">
      <alignment horizontal="center"/>
    </xf>
    <xf numFmtId="198" fontId="10" fillId="0" borderId="0" xfId="1" applyNumberFormat="1" applyFont="1" applyFill="1" applyBorder="1" applyAlignment="1">
      <alignment horizontal="center"/>
    </xf>
    <xf numFmtId="181" fontId="10" fillId="0" borderId="0" xfId="0" applyNumberFormat="1" applyFont="1" applyFill="1" applyBorder="1"/>
    <xf numFmtId="181" fontId="10" fillId="0" borderId="0" xfId="0" applyNumberFormat="1" applyFont="1" applyFill="1" applyBorder="1" applyAlignment="1">
      <alignment horizontal="center"/>
    </xf>
    <xf numFmtId="195" fontId="0" fillId="0" borderId="0" xfId="0" applyNumberFormat="1" applyFill="1" applyBorder="1"/>
    <xf numFmtId="167" fontId="5" fillId="7" borderId="17" xfId="7" applyNumberFormat="1" applyFont="1" applyFill="1" applyBorder="1"/>
    <xf numFmtId="0" fontId="20" fillId="3" borderId="8" xfId="0" applyFont="1" applyFill="1" applyBorder="1" applyAlignment="1">
      <alignment horizontal="center"/>
    </xf>
    <xf numFmtId="0" fontId="20" fillId="3" borderId="24" xfId="0" applyFont="1" applyFill="1" applyBorder="1" applyAlignment="1">
      <alignment horizontal="center"/>
    </xf>
    <xf numFmtId="0" fontId="20" fillId="3" borderId="25" xfId="0" applyFont="1" applyFill="1" applyBorder="1" applyAlignment="1">
      <alignment horizontal="center"/>
    </xf>
    <xf numFmtId="0" fontId="0" fillId="3" borderId="0" xfId="0" applyFill="1"/>
    <xf numFmtId="165" fontId="5" fillId="7" borderId="16" xfId="1" applyNumberFormat="1" applyFont="1" applyFill="1" applyBorder="1"/>
    <xf numFmtId="0" fontId="0" fillId="3" borderId="24" xfId="0" applyFill="1" applyBorder="1"/>
    <xf numFmtId="0" fontId="0" fillId="3" borderId="25" xfId="0" applyFill="1" applyBorder="1"/>
    <xf numFmtId="0" fontId="0" fillId="3" borderId="8" xfId="0" applyFill="1" applyBorder="1"/>
    <xf numFmtId="0" fontId="0" fillId="3" borderId="26" xfId="0" applyFill="1" applyBorder="1"/>
    <xf numFmtId="0" fontId="43" fillId="9" borderId="0" xfId="0" applyFont="1" applyFill="1" applyAlignment="1">
      <alignment wrapText="1"/>
    </xf>
    <xf numFmtId="43" fontId="5" fillId="7" borderId="0" xfId="1" applyFont="1" applyFill="1" applyBorder="1"/>
    <xf numFmtId="165" fontId="5" fillId="0" borderId="0" xfId="1" applyNumberFormat="1" applyFont="1" applyFill="1" applyBorder="1"/>
    <xf numFmtId="0" fontId="5" fillId="0" borderId="0" xfId="0" applyFont="1" applyFill="1" applyBorder="1"/>
    <xf numFmtId="167" fontId="5" fillId="0" borderId="0" xfId="7" applyNumberFormat="1" applyFont="1" applyFill="1" applyBorder="1"/>
    <xf numFmtId="43" fontId="5" fillId="7" borderId="27" xfId="1" applyFont="1" applyFill="1" applyBorder="1"/>
    <xf numFmtId="43" fontId="0" fillId="0" borderId="0" xfId="1" applyFont="1" applyFill="1"/>
    <xf numFmtId="193" fontId="5" fillId="10" borderId="14" xfId="1" applyNumberFormat="1" applyFont="1" applyFill="1" applyBorder="1"/>
    <xf numFmtId="193" fontId="5" fillId="3" borderId="14" xfId="1" applyNumberFormat="1" applyFont="1" applyFill="1" applyBorder="1"/>
    <xf numFmtId="193" fontId="5" fillId="7" borderId="14" xfId="1" applyNumberFormat="1" applyFont="1" applyFill="1" applyBorder="1"/>
    <xf numFmtId="193" fontId="5" fillId="7" borderId="28" xfId="1" applyNumberFormat="1" applyFont="1" applyFill="1" applyBorder="1"/>
    <xf numFmtId="0" fontId="0" fillId="0" borderId="18" xfId="0" pivotButton="1" applyBorder="1"/>
    <xf numFmtId="43" fontId="5" fillId="10" borderId="0" xfId="1" applyFont="1" applyFill="1" applyBorder="1"/>
    <xf numFmtId="43" fontId="5" fillId="3" borderId="0" xfId="1" applyFont="1" applyFill="1"/>
    <xf numFmtId="165" fontId="0" fillId="0" borderId="0" xfId="1" applyNumberFormat="1" applyFont="1"/>
    <xf numFmtId="173" fontId="0" fillId="0" borderId="0" xfId="0" applyNumberFormat="1"/>
    <xf numFmtId="173" fontId="0" fillId="0" borderId="0" xfId="1" applyNumberFormat="1" applyFont="1"/>
    <xf numFmtId="43" fontId="1" fillId="0" borderId="0" xfId="1" applyNumberFormat="1"/>
    <xf numFmtId="173" fontId="1" fillId="7" borderId="0" xfId="1" applyNumberFormat="1" applyFill="1"/>
    <xf numFmtId="173" fontId="20" fillId="0" borderId="0" xfId="5" applyNumberFormat="1" applyFont="1"/>
    <xf numFmtId="173" fontId="20" fillId="0" borderId="0" xfId="1" applyNumberFormat="1" applyFont="1"/>
    <xf numFmtId="43" fontId="1" fillId="0" borderId="0" xfId="1"/>
    <xf numFmtId="43" fontId="1" fillId="0" borderId="0" xfId="5" applyNumberFormat="1"/>
    <xf numFmtId="177" fontId="20" fillId="0" borderId="0" xfId="1" applyNumberFormat="1" applyFont="1"/>
    <xf numFmtId="167" fontId="0" fillId="0" borderId="0" xfId="0" applyNumberFormat="1" applyFill="1"/>
    <xf numFmtId="4" fontId="20" fillId="2" borderId="0" xfId="0" applyNumberFormat="1" applyFont="1" applyFill="1"/>
    <xf numFmtId="199" fontId="20" fillId="2" borderId="0" xfId="0" applyNumberFormat="1" applyFont="1" applyFill="1"/>
    <xf numFmtId="199" fontId="35" fillId="2" borderId="0" xfId="1" applyNumberFormat="1" applyFont="1" applyFill="1" applyAlignment="1">
      <alignment horizontal="right"/>
    </xf>
    <xf numFmtId="4" fontId="35" fillId="2" borderId="0" xfId="1" applyNumberFormat="1" applyFont="1" applyFill="1" applyAlignment="1">
      <alignment horizontal="right"/>
    </xf>
    <xf numFmtId="0" fontId="5" fillId="0" borderId="0" xfId="5" applyFont="1" applyFill="1"/>
    <xf numFmtId="0" fontId="1" fillId="0" borderId="0" xfId="5" applyFont="1" applyFill="1"/>
    <xf numFmtId="0" fontId="10" fillId="0" borderId="0" xfId="4"/>
    <xf numFmtId="0" fontId="46" fillId="0" borderId="0" xfId="5" applyFont="1"/>
    <xf numFmtId="0" fontId="5" fillId="0" borderId="0" xfId="5" applyFont="1"/>
    <xf numFmtId="0" fontId="1" fillId="0" borderId="29" xfId="5" applyFont="1" applyFill="1" applyBorder="1"/>
    <xf numFmtId="0" fontId="1" fillId="0" borderId="30" xfId="5" applyFont="1" applyFill="1" applyBorder="1"/>
    <xf numFmtId="0" fontId="1" fillId="0" borderId="31" xfId="5" applyFont="1" applyFill="1" applyBorder="1"/>
    <xf numFmtId="15" fontId="1" fillId="0" borderId="0" xfId="5" applyNumberFormat="1" applyFill="1"/>
    <xf numFmtId="165" fontId="1" fillId="0" borderId="13" xfId="5" applyNumberFormat="1" applyBorder="1"/>
    <xf numFmtId="165" fontId="1" fillId="0" borderId="0" xfId="5" applyNumberFormat="1" applyFont="1" applyBorder="1"/>
    <xf numFmtId="165" fontId="1" fillId="0" borderId="0" xfId="5" applyNumberFormat="1" applyBorder="1"/>
    <xf numFmtId="165" fontId="1" fillId="0" borderId="32" xfId="5" applyNumberFormat="1" applyBorder="1"/>
    <xf numFmtId="15" fontId="1" fillId="0" borderId="0" xfId="5" applyNumberFormat="1" applyFont="1" applyFill="1"/>
    <xf numFmtId="165" fontId="1" fillId="3" borderId="0" xfId="1" applyNumberFormat="1" applyFill="1" applyBorder="1"/>
    <xf numFmtId="165" fontId="1" fillId="11" borderId="0" xfId="1" applyNumberFormat="1" applyFill="1" applyBorder="1"/>
    <xf numFmtId="15" fontId="1" fillId="0" borderId="0" xfId="5" applyNumberFormat="1" applyFill="1" applyBorder="1"/>
    <xf numFmtId="165" fontId="1" fillId="0" borderId="33" xfId="5" applyNumberFormat="1" applyBorder="1"/>
    <xf numFmtId="165" fontId="1" fillId="0" borderId="34" xfId="5" applyNumberFormat="1" applyBorder="1"/>
    <xf numFmtId="165" fontId="1" fillId="0" borderId="0" xfId="1" applyNumberFormat="1" applyFill="1"/>
    <xf numFmtId="15" fontId="46" fillId="0" borderId="0" xfId="5" applyNumberFormat="1" applyFont="1" applyFill="1"/>
    <xf numFmtId="0" fontId="46" fillId="0" borderId="0" xfId="5" applyFont="1" applyBorder="1" applyAlignment="1">
      <alignment horizontal="right"/>
    </xf>
    <xf numFmtId="0" fontId="10" fillId="0" borderId="34" xfId="4" applyBorder="1"/>
    <xf numFmtId="0" fontId="46" fillId="0" borderId="0" xfId="5" applyFont="1" applyAlignment="1">
      <alignment horizontal="right"/>
    </xf>
    <xf numFmtId="15" fontId="1" fillId="0" borderId="29" xfId="5" applyNumberFormat="1" applyFill="1" applyBorder="1"/>
    <xf numFmtId="15" fontId="1" fillId="0" borderId="30" xfId="5" applyNumberFormat="1" applyFill="1" applyBorder="1"/>
    <xf numFmtId="0" fontId="1" fillId="0" borderId="30" xfId="5" applyBorder="1"/>
    <xf numFmtId="0" fontId="1" fillId="0" borderId="31" xfId="5" applyBorder="1"/>
    <xf numFmtId="15" fontId="1" fillId="0" borderId="13" xfId="5" applyNumberFormat="1" applyFill="1" applyBorder="1"/>
    <xf numFmtId="0" fontId="1" fillId="0" borderId="29" xfId="5" applyBorder="1"/>
    <xf numFmtId="43" fontId="1" fillId="0" borderId="29" xfId="1" applyBorder="1"/>
    <xf numFmtId="43" fontId="1" fillId="0" borderId="30" xfId="1" applyBorder="1"/>
    <xf numFmtId="43" fontId="1" fillId="0" borderId="31" xfId="1" applyBorder="1"/>
    <xf numFmtId="165" fontId="1" fillId="0" borderId="0" xfId="1" applyNumberFormat="1" applyFill="1" applyBorder="1"/>
    <xf numFmtId="0" fontId="1" fillId="0" borderId="0" xfId="5" applyBorder="1"/>
    <xf numFmtId="0" fontId="1" fillId="0" borderId="36" xfId="5" applyBorder="1"/>
    <xf numFmtId="0" fontId="1" fillId="0" borderId="13" xfId="5" applyBorder="1"/>
    <xf numFmtId="43" fontId="1" fillId="0" borderId="13" xfId="1" applyBorder="1"/>
    <xf numFmtId="43" fontId="1" fillId="0" borderId="0" xfId="1" applyBorder="1"/>
    <xf numFmtId="43" fontId="1" fillId="0" borderId="36" xfId="1" applyBorder="1"/>
    <xf numFmtId="15" fontId="1" fillId="0" borderId="0" xfId="5" applyNumberFormat="1" applyBorder="1"/>
    <xf numFmtId="15" fontId="1" fillId="0" borderId="33" xfId="5" applyNumberFormat="1" applyFill="1" applyBorder="1"/>
    <xf numFmtId="0" fontId="1" fillId="0" borderId="34" xfId="5" applyBorder="1"/>
    <xf numFmtId="0" fontId="1" fillId="0" borderId="37" xfId="5" applyBorder="1"/>
    <xf numFmtId="43" fontId="1" fillId="0" borderId="33" xfId="1" applyBorder="1"/>
    <xf numFmtId="43" fontId="1" fillId="0" borderId="34" xfId="1" applyBorder="1"/>
    <xf numFmtId="43" fontId="1" fillId="0" borderId="37" xfId="1" applyBorder="1"/>
    <xf numFmtId="15" fontId="1" fillId="0" borderId="33" xfId="5" applyNumberFormat="1" applyBorder="1"/>
    <xf numFmtId="0" fontId="1" fillId="0" borderId="33" xfId="5" applyBorder="1"/>
    <xf numFmtId="165" fontId="1" fillId="0" borderId="36" xfId="5" applyNumberFormat="1" applyBorder="1"/>
    <xf numFmtId="165" fontId="1" fillId="0" borderId="37" xfId="5" applyNumberFormat="1" applyBorder="1"/>
    <xf numFmtId="15" fontId="46" fillId="0" borderId="0" xfId="5" applyNumberFormat="1" applyFont="1" applyFill="1" applyAlignment="1">
      <alignment horizontal="right"/>
    </xf>
    <xf numFmtId="0" fontId="1" fillId="0" borderId="0" xfId="1" applyNumberFormat="1" applyFill="1"/>
    <xf numFmtId="0" fontId="1" fillId="0" borderId="29" xfId="1" applyNumberFormat="1" applyFill="1" applyBorder="1"/>
    <xf numFmtId="0" fontId="1" fillId="0" borderId="30" xfId="1" applyNumberFormat="1" applyFill="1" applyBorder="1"/>
    <xf numFmtId="15" fontId="1" fillId="0" borderId="29" xfId="5" applyNumberFormat="1" applyBorder="1"/>
    <xf numFmtId="43" fontId="1" fillId="0" borderId="29" xfId="5" applyNumberFormat="1" applyBorder="1"/>
    <xf numFmtId="43" fontId="1" fillId="0" borderId="30" xfId="5" applyNumberFormat="1" applyBorder="1"/>
    <xf numFmtId="43" fontId="1" fillId="0" borderId="31" xfId="5" applyNumberFormat="1" applyBorder="1"/>
    <xf numFmtId="165" fontId="1" fillId="0" borderId="13" xfId="1" applyNumberFormat="1" applyFill="1" applyBorder="1"/>
    <xf numFmtId="15" fontId="1" fillId="0" borderId="13" xfId="5" applyNumberFormat="1" applyBorder="1"/>
    <xf numFmtId="43" fontId="1" fillId="0" borderId="13" xfId="5" applyNumberFormat="1" applyBorder="1"/>
    <xf numFmtId="43" fontId="1" fillId="0" borderId="0" xfId="5" applyNumberFormat="1" applyBorder="1"/>
    <xf numFmtId="43" fontId="1" fillId="0" borderId="36" xfId="5" applyNumberFormat="1" applyBorder="1"/>
    <xf numFmtId="165" fontId="1" fillId="0" borderId="36" xfId="1" applyNumberFormat="1" applyFont="1" applyBorder="1"/>
    <xf numFmtId="165" fontId="1" fillId="0" borderId="13" xfId="1" applyNumberFormat="1" applyBorder="1"/>
    <xf numFmtId="165" fontId="1" fillId="0" borderId="0" xfId="1" applyNumberFormat="1" applyBorder="1"/>
    <xf numFmtId="43" fontId="1" fillId="0" borderId="33" xfId="5" applyNumberFormat="1" applyBorder="1"/>
    <xf numFmtId="43" fontId="1" fillId="0" borderId="34" xfId="5" applyNumberFormat="1" applyBorder="1"/>
    <xf numFmtId="43" fontId="1" fillId="0" borderId="37" xfId="5" applyNumberFormat="1" applyBorder="1"/>
    <xf numFmtId="165" fontId="1" fillId="0" borderId="0" xfId="5" applyNumberFormat="1"/>
    <xf numFmtId="0" fontId="20" fillId="0" borderId="0" xfId="0" applyFont="1" applyFill="1"/>
    <xf numFmtId="43" fontId="20" fillId="0" borderId="0" xfId="1" applyNumberFormat="1" applyFont="1" applyFill="1"/>
    <xf numFmtId="43" fontId="20" fillId="0" borderId="0" xfId="0" applyNumberFormat="1" applyFont="1" applyFill="1" applyBorder="1"/>
    <xf numFmtId="43" fontId="20" fillId="0" borderId="0" xfId="1" applyFont="1" applyFill="1" applyBorder="1" applyAlignment="1">
      <alignment horizontal="center"/>
    </xf>
    <xf numFmtId="0" fontId="24" fillId="2" borderId="0" xfId="0" applyFont="1" applyFill="1" applyAlignment="1">
      <alignment vertical="top"/>
    </xf>
    <xf numFmtId="0" fontId="23" fillId="2" borderId="0" xfId="0" applyFont="1" applyFill="1" applyAlignment="1"/>
    <xf numFmtId="187" fontId="23" fillId="2" borderId="0" xfId="0" applyNumberFormat="1" applyFont="1" applyFill="1" applyAlignment="1">
      <alignment horizontal="right"/>
    </xf>
    <xf numFmtId="10" fontId="23" fillId="2" borderId="0" xfId="0" applyNumberFormat="1" applyFont="1" applyFill="1"/>
    <xf numFmtId="0" fontId="32" fillId="2" borderId="0" xfId="0" applyFont="1" applyFill="1"/>
    <xf numFmtId="0" fontId="0" fillId="2" borderId="0" xfId="0" applyFill="1" applyAlignment="1"/>
    <xf numFmtId="187" fontId="20" fillId="2" borderId="0" xfId="0" applyNumberFormat="1" applyFont="1" applyFill="1" applyBorder="1" applyAlignment="1">
      <alignment horizontal="right"/>
    </xf>
    <xf numFmtId="10" fontId="20" fillId="2" borderId="0" xfId="0" applyNumberFormat="1" applyFont="1" applyFill="1" applyAlignment="1"/>
    <xf numFmtId="187" fontId="20" fillId="2" borderId="0" xfId="0" applyNumberFormat="1" applyFont="1" applyFill="1" applyAlignment="1">
      <alignment horizontal="left"/>
    </xf>
    <xf numFmtId="10" fontId="20" fillId="2" borderId="0" xfId="0" applyNumberFormat="1" applyFont="1" applyFill="1" applyAlignment="1">
      <alignment horizontal="left"/>
    </xf>
    <xf numFmtId="0" fontId="20" fillId="2" borderId="0" xfId="0" applyFont="1" applyFill="1" applyAlignment="1">
      <alignment horizontal="left"/>
    </xf>
    <xf numFmtId="10" fontId="20" fillId="2" borderId="0" xfId="0" applyNumberFormat="1" applyFont="1" applyFill="1" applyAlignment="1">
      <alignment horizontal="center"/>
    </xf>
    <xf numFmtId="3" fontId="23" fillId="2" borderId="0" xfId="0" applyNumberFormat="1" applyFont="1" applyFill="1" applyAlignment="1"/>
    <xf numFmtId="3" fontId="20" fillId="2" borderId="0" xfId="0" applyNumberFormat="1" applyFont="1" applyFill="1" applyAlignment="1"/>
    <xf numFmtId="0" fontId="24" fillId="2" borderId="0" xfId="0" applyFont="1" applyFill="1" applyAlignment="1"/>
    <xf numFmtId="0" fontId="20" fillId="2" borderId="0" xfId="0" applyFont="1" applyFill="1" applyAlignment="1">
      <alignment horizontal="right" wrapText="1"/>
    </xf>
    <xf numFmtId="0" fontId="20" fillId="2" borderId="0" xfId="0" applyFont="1" applyFill="1" applyAlignment="1">
      <alignment horizontal="right"/>
    </xf>
    <xf numFmtId="0" fontId="23" fillId="2" borderId="0" xfId="0" applyFont="1" applyFill="1" applyAlignment="1">
      <alignment horizontal="left"/>
    </xf>
    <xf numFmtId="10" fontId="24" fillId="2" borderId="0" xfId="0" applyNumberFormat="1" applyFont="1" applyFill="1"/>
    <xf numFmtId="0" fontId="25" fillId="2" borderId="0" xfId="0" applyFont="1" applyFill="1" applyAlignment="1">
      <alignment horizontal="right" wrapText="1"/>
    </xf>
    <xf numFmtId="187" fontId="25" fillId="2" borderId="0" xfId="0" applyNumberFormat="1" applyFont="1" applyFill="1" applyAlignment="1">
      <alignment horizontal="right" wrapText="1"/>
    </xf>
    <xf numFmtId="10" fontId="25" fillId="2" borderId="0" xfId="0" applyNumberFormat="1" applyFont="1" applyFill="1" applyAlignment="1">
      <alignment horizontal="right" wrapText="1"/>
    </xf>
    <xf numFmtId="10" fontId="20" fillId="2" borderId="0" xfId="7" applyNumberFormat="1" applyFont="1" applyFill="1" applyAlignment="1">
      <alignment horizontal="right"/>
    </xf>
    <xf numFmtId="189" fontId="20" fillId="2" borderId="0" xfId="0" applyNumberFormat="1" applyFont="1" applyFill="1" applyAlignment="1">
      <alignment horizontal="right"/>
    </xf>
    <xf numFmtId="0" fontId="23" fillId="2" borderId="0" xfId="0" applyFont="1" applyFill="1" applyAlignment="1">
      <alignment horizontal="right"/>
    </xf>
    <xf numFmtId="10" fontId="20" fillId="2" borderId="7" xfId="0" applyNumberFormat="1" applyFont="1" applyFill="1" applyBorder="1" applyAlignment="1">
      <alignment horizontal="right"/>
    </xf>
    <xf numFmtId="189" fontId="20" fillId="2" borderId="7" xfId="0" applyNumberFormat="1" applyFont="1" applyFill="1" applyBorder="1" applyAlignment="1">
      <alignment horizontal="right"/>
    </xf>
    <xf numFmtId="10" fontId="20" fillId="2" borderId="0" xfId="7" applyNumberFormat="1" applyFont="1" applyFill="1" applyBorder="1" applyAlignment="1">
      <alignment horizontal="right"/>
    </xf>
    <xf numFmtId="10" fontId="20" fillId="2" borderId="0" xfId="7" applyNumberFormat="1" applyFont="1" applyFill="1" applyAlignment="1">
      <alignment horizontal="right" wrapText="1"/>
    </xf>
    <xf numFmtId="10" fontId="20" fillId="2" borderId="0" xfId="0" applyNumberFormat="1" applyFont="1" applyFill="1" applyAlignment="1">
      <alignment horizontal="right"/>
    </xf>
    <xf numFmtId="10" fontId="20" fillId="2" borderId="0" xfId="0" applyNumberFormat="1" applyFont="1" applyFill="1" applyBorder="1" applyAlignment="1">
      <alignment horizontal="right"/>
    </xf>
    <xf numFmtId="187" fontId="25" fillId="2" borderId="0" xfId="0" applyNumberFormat="1" applyFont="1" applyFill="1" applyAlignment="1">
      <alignment horizontal="right"/>
    </xf>
    <xf numFmtId="4" fontId="20" fillId="2" borderId="0" xfId="0" applyNumberFormat="1" applyFont="1" applyFill="1" applyAlignment="1">
      <alignment horizontal="right"/>
    </xf>
    <xf numFmtId="3" fontId="20" fillId="2" borderId="0" xfId="0" applyNumberFormat="1" applyFont="1" applyFill="1" applyAlignment="1">
      <alignment horizontal="right"/>
    </xf>
    <xf numFmtId="0" fontId="23" fillId="2" borderId="0" xfId="0" applyFont="1" applyFill="1" applyAlignment="1">
      <alignment horizontal="center" wrapText="1"/>
    </xf>
    <xf numFmtId="165" fontId="20" fillId="2" borderId="7" xfId="0" applyNumberFormat="1" applyFont="1" applyFill="1" applyBorder="1" applyAlignment="1">
      <alignment horizontal="right"/>
    </xf>
    <xf numFmtId="0" fontId="23" fillId="2" borderId="0" xfId="0" applyFont="1" applyFill="1" applyAlignment="1">
      <alignment horizontal="left" wrapText="1"/>
    </xf>
    <xf numFmtId="49" fontId="0" fillId="2" borderId="0" xfId="0" applyNumberFormat="1" applyFill="1"/>
    <xf numFmtId="10" fontId="20" fillId="2" borderId="0" xfId="0" applyNumberFormat="1" applyFont="1" applyFill="1" applyAlignment="1">
      <alignment horizontal="right" wrapText="1"/>
    </xf>
    <xf numFmtId="0" fontId="20" fillId="2" borderId="0" xfId="0" applyFont="1" applyFill="1" applyBorder="1" applyAlignment="1">
      <alignment horizontal="center"/>
    </xf>
    <xf numFmtId="0" fontId="20" fillId="2" borderId="0" xfId="0" applyFont="1" applyFill="1" applyBorder="1" applyAlignment="1">
      <alignment horizontal="center" wrapText="1"/>
    </xf>
    <xf numFmtId="10" fontId="20" fillId="2" borderId="0" xfId="0" applyNumberFormat="1" applyFont="1" applyFill="1" applyBorder="1"/>
    <xf numFmtId="187" fontId="23" fillId="2" borderId="0" xfId="0" applyNumberFormat="1" applyFont="1" applyFill="1" applyBorder="1" applyAlignment="1">
      <alignment horizontal="right" wrapText="1"/>
    </xf>
    <xf numFmtId="10" fontId="23" fillId="2" borderId="0" xfId="0" applyNumberFormat="1" applyFont="1" applyFill="1" applyBorder="1" applyAlignment="1">
      <alignment horizontal="right" wrapText="1"/>
    </xf>
    <xf numFmtId="187" fontId="25" fillId="2" borderId="0" xfId="0" applyNumberFormat="1" applyFont="1" applyFill="1" applyBorder="1" applyAlignment="1">
      <alignment horizontal="right"/>
    </xf>
    <xf numFmtId="0" fontId="20" fillId="2" borderId="0" xfId="0" applyFont="1" applyFill="1" applyBorder="1" applyAlignment="1">
      <alignment horizontal="right"/>
    </xf>
    <xf numFmtId="0" fontId="23" fillId="2" borderId="0" xfId="0" applyFont="1" applyFill="1" applyBorder="1" applyAlignment="1">
      <alignment horizontal="right" wrapText="1"/>
    </xf>
    <xf numFmtId="189" fontId="20" fillId="2" borderId="0" xfId="0" applyNumberFormat="1" applyFont="1" applyFill="1" applyBorder="1" applyAlignment="1">
      <alignment horizontal="right"/>
    </xf>
    <xf numFmtId="187" fontId="20" fillId="2" borderId="0" xfId="0" applyNumberFormat="1" applyFont="1" applyFill="1" applyBorder="1" applyAlignment="1">
      <alignment horizontal="right" wrapText="1"/>
    </xf>
    <xf numFmtId="10" fontId="20" fillId="2" borderId="0" xfId="0" applyNumberFormat="1" applyFont="1" applyFill="1" applyBorder="1" applyAlignment="1">
      <alignment horizontal="right" wrapText="1"/>
    </xf>
    <xf numFmtId="189" fontId="20" fillId="2" borderId="0" xfId="0" applyNumberFormat="1" applyFont="1" applyFill="1" applyBorder="1" applyAlignment="1">
      <alignment horizontal="right" wrapText="1"/>
    </xf>
    <xf numFmtId="6" fontId="25" fillId="2" borderId="0" xfId="0" applyNumberFormat="1" applyFont="1" applyFill="1" applyBorder="1" applyAlignment="1">
      <alignment horizontal="right" wrapText="1"/>
    </xf>
    <xf numFmtId="189" fontId="25" fillId="2" borderId="0" xfId="0" applyNumberFormat="1" applyFont="1" applyFill="1" applyAlignment="1">
      <alignment horizontal="right" wrapText="1"/>
    </xf>
    <xf numFmtId="10" fontId="20" fillId="2" borderId="0" xfId="7" applyNumberFormat="1" applyFont="1" applyFill="1" applyBorder="1"/>
    <xf numFmtId="0" fontId="23" fillId="2" borderId="0" xfId="0" applyFont="1" applyFill="1" applyBorder="1" applyAlignment="1"/>
    <xf numFmtId="0" fontId="25" fillId="2" borderId="0" xfId="0" applyFont="1" applyFill="1" applyBorder="1" applyAlignment="1">
      <alignment horizontal="right"/>
    </xf>
    <xf numFmtId="43" fontId="20" fillId="2" borderId="0" xfId="0" applyNumberFormat="1" applyFont="1" applyFill="1" applyBorder="1" applyAlignment="1">
      <alignment horizontal="right"/>
    </xf>
    <xf numFmtId="165" fontId="20" fillId="2" borderId="0" xfId="0" applyNumberFormat="1" applyFont="1" applyFill="1" applyBorder="1" applyAlignment="1">
      <alignment horizontal="right"/>
    </xf>
    <xf numFmtId="6" fontId="20" fillId="2" borderId="0" xfId="0" applyNumberFormat="1" applyFont="1" applyFill="1" applyBorder="1" applyAlignment="1"/>
    <xf numFmtId="0" fontId="25" fillId="2" borderId="0" xfId="0" applyFont="1" applyFill="1" applyBorder="1" applyAlignment="1"/>
    <xf numFmtId="0" fontId="23" fillId="2" borderId="0" xfId="0" applyFont="1" applyFill="1" applyBorder="1" applyAlignment="1">
      <alignment wrapText="1"/>
    </xf>
    <xf numFmtId="187" fontId="25" fillId="2" borderId="0" xfId="0" applyNumberFormat="1" applyFont="1" applyFill="1" applyBorder="1" applyAlignment="1">
      <alignment horizontal="right" wrapText="1"/>
    </xf>
    <xf numFmtId="3" fontId="20" fillId="2" borderId="7" xfId="0" applyNumberFormat="1" applyFont="1" applyFill="1" applyBorder="1" applyAlignment="1">
      <alignment horizontal="right"/>
    </xf>
    <xf numFmtId="6" fontId="25" fillId="2" borderId="0" xfId="0" applyNumberFormat="1" applyFont="1" applyFill="1" applyAlignment="1">
      <alignment horizontal="right"/>
    </xf>
    <xf numFmtId="49" fontId="20" fillId="2" borderId="0" xfId="0" applyNumberFormat="1" applyFont="1" applyFill="1" applyAlignment="1">
      <alignment horizontal="right"/>
    </xf>
    <xf numFmtId="10" fontId="23" fillId="2" borderId="0" xfId="0" applyNumberFormat="1" applyFont="1" applyFill="1" applyAlignment="1"/>
    <xf numFmtId="3" fontId="19" fillId="2" borderId="0" xfId="0" applyNumberFormat="1" applyFont="1" applyFill="1" applyAlignment="1"/>
    <xf numFmtId="165" fontId="38" fillId="2" borderId="0" xfId="1" applyNumberFormat="1" applyFont="1" applyFill="1" applyAlignment="1">
      <alignment horizontal="right"/>
    </xf>
    <xf numFmtId="187" fontId="19" fillId="2" borderId="0" xfId="0" applyNumberFormat="1" applyFont="1" applyFill="1" applyAlignment="1">
      <alignment horizontal="center" wrapText="1"/>
    </xf>
    <xf numFmtId="10" fontId="19" fillId="2" borderId="0" xfId="0" applyNumberFormat="1" applyFont="1" applyFill="1" applyAlignment="1">
      <alignment horizontal="center" wrapText="1"/>
    </xf>
    <xf numFmtId="10" fontId="19" fillId="2" borderId="0" xfId="0" applyNumberFormat="1" applyFont="1" applyFill="1" applyAlignment="1">
      <alignment horizontal="right" wrapText="1"/>
    </xf>
    <xf numFmtId="165" fontId="20" fillId="2" borderId="0" xfId="1" applyNumberFormat="1" applyFont="1" applyFill="1" applyAlignment="1">
      <alignment horizontal="right"/>
    </xf>
    <xf numFmtId="165" fontId="20" fillId="2" borderId="0" xfId="0" applyNumberFormat="1" applyFont="1" applyFill="1" applyAlignment="1">
      <alignment horizontal="right"/>
    </xf>
    <xf numFmtId="0" fontId="42" fillId="2" borderId="0" xfId="0" applyFont="1" applyFill="1" applyAlignment="1"/>
    <xf numFmtId="187" fontId="19" fillId="2" borderId="0" xfId="0" applyNumberFormat="1" applyFont="1" applyFill="1" applyAlignment="1">
      <alignment horizontal="right"/>
    </xf>
    <xf numFmtId="187" fontId="20" fillId="2" borderId="0" xfId="0" applyNumberFormat="1" applyFont="1" applyFill="1" applyAlignment="1">
      <alignment horizontal="left" wrapText="1"/>
    </xf>
    <xf numFmtId="187" fontId="37" fillId="2" borderId="0" xfId="3" applyNumberFormat="1" applyFont="1" applyFill="1" applyAlignment="1" applyProtection="1">
      <alignment horizontal="left"/>
    </xf>
    <xf numFmtId="171" fontId="20" fillId="2" borderId="0" xfId="7" applyNumberFormat="1" applyFont="1" applyFill="1" applyAlignment="1">
      <alignment horizontal="right"/>
    </xf>
    <xf numFmtId="168" fontId="22" fillId="2" borderId="0" xfId="7" applyNumberFormat="1" applyFont="1" applyFill="1" applyAlignment="1">
      <alignment horizontal="right"/>
    </xf>
    <xf numFmtId="168" fontId="20" fillId="2" borderId="0" xfId="7" applyNumberFormat="1" applyFont="1" applyFill="1" applyAlignment="1">
      <alignment horizontal="right"/>
    </xf>
    <xf numFmtId="4" fontId="20" fillId="2" borderId="7" xfId="0" applyNumberFormat="1" applyFont="1" applyFill="1" applyBorder="1" applyAlignment="1">
      <alignment horizontal="right"/>
    </xf>
    <xf numFmtId="0" fontId="0" fillId="2" borderId="0" xfId="0" applyFill="1"/>
    <xf numFmtId="0" fontId="20" fillId="2" borderId="29" xfId="0" applyFont="1" applyFill="1" applyBorder="1"/>
    <xf numFmtId="43" fontId="5" fillId="10" borderId="28" xfId="1" applyFont="1" applyFill="1" applyBorder="1"/>
    <xf numFmtId="165" fontId="28" fillId="0" borderId="0" xfId="1" applyNumberFormat="1" applyFont="1" applyFill="1" applyBorder="1"/>
    <xf numFmtId="49" fontId="20" fillId="2" borderId="0" xfId="0" applyNumberFormat="1" applyFont="1" applyFill="1" applyAlignment="1">
      <alignment horizontal="right" wrapText="1"/>
    </xf>
    <xf numFmtId="4" fontId="20" fillId="2" borderId="0" xfId="0" applyNumberFormat="1" applyFont="1" applyFill="1" applyAlignment="1">
      <alignment horizontal="right" wrapText="1"/>
    </xf>
    <xf numFmtId="3" fontId="20" fillId="2" borderId="0" xfId="0" applyNumberFormat="1" applyFont="1" applyFill="1" applyAlignment="1">
      <alignment horizontal="right" wrapText="1"/>
    </xf>
    <xf numFmtId="43" fontId="20" fillId="10" borderId="7" xfId="0" applyNumberFormat="1" applyFont="1" applyFill="1" applyBorder="1"/>
    <xf numFmtId="10" fontId="23" fillId="10" borderId="0" xfId="0" applyNumberFormat="1" applyFont="1" applyFill="1"/>
    <xf numFmtId="0" fontId="45" fillId="2" borderId="0" xfId="0" applyFont="1" applyFill="1" applyAlignment="1"/>
    <xf numFmtId="43" fontId="20" fillId="2" borderId="7" xfId="1" applyFont="1" applyFill="1" applyBorder="1" applyAlignment="1">
      <alignment horizontal="right"/>
    </xf>
    <xf numFmtId="43" fontId="1" fillId="0" borderId="0" xfId="1" applyNumberFormat="1" applyFill="1" applyBorder="1"/>
    <xf numFmtId="165" fontId="5" fillId="0" borderId="32" xfId="5" applyNumberFormat="1" applyFont="1" applyBorder="1"/>
    <xf numFmtId="0" fontId="46" fillId="4" borderId="0" xfId="5" applyFont="1" applyFill="1" applyBorder="1" applyAlignment="1">
      <alignment horizontal="right"/>
    </xf>
    <xf numFmtId="0" fontId="5" fillId="0" borderId="0" xfId="5" applyFont="1" applyAlignment="1">
      <alignment horizontal="center"/>
    </xf>
    <xf numFmtId="0" fontId="23" fillId="0" borderId="0" xfId="5" applyFont="1" applyAlignment="1">
      <alignment horizontal="center"/>
    </xf>
    <xf numFmtId="0" fontId="0" fillId="2" borderId="13" xfId="0" applyFill="1" applyBorder="1"/>
    <xf numFmtId="0" fontId="0" fillId="2" borderId="0" xfId="0" applyFill="1" applyBorder="1"/>
    <xf numFmtId="0" fontId="0" fillId="0" borderId="0" xfId="0" applyNumberFormat="1" applyAlignment="1">
      <alignment wrapText="1"/>
    </xf>
    <xf numFmtId="43" fontId="1" fillId="0" borderId="13" xfId="5" applyNumberFormat="1" applyFill="1" applyBorder="1"/>
    <xf numFmtId="43" fontId="20" fillId="2" borderId="7" xfId="0" applyNumberFormat="1" applyFont="1" applyFill="1" applyBorder="1" applyAlignment="1">
      <alignment horizontal="right"/>
    </xf>
    <xf numFmtId="49" fontId="0" fillId="2" borderId="24" xfId="0" applyNumberFormat="1" applyFill="1" applyBorder="1" applyAlignment="1">
      <alignment horizontal="center"/>
    </xf>
    <xf numFmtId="181" fontId="0" fillId="2" borderId="24" xfId="0" applyNumberFormat="1" applyFill="1" applyBorder="1" applyAlignment="1">
      <alignment horizontal="right"/>
    </xf>
    <xf numFmtId="49" fontId="0" fillId="2" borderId="26" xfId="0" applyNumberFormat="1" applyFill="1" applyBorder="1" applyAlignment="1">
      <alignment horizontal="center"/>
    </xf>
    <xf numFmtId="181" fontId="0" fillId="2" borderId="26" xfId="0" applyNumberFormat="1" applyFill="1" applyBorder="1" applyAlignment="1">
      <alignment horizontal="right"/>
    </xf>
    <xf numFmtId="49" fontId="0" fillId="2" borderId="25" xfId="0" applyNumberFormat="1" applyFill="1" applyBorder="1" applyAlignment="1">
      <alignment horizontal="center"/>
    </xf>
    <xf numFmtId="181" fontId="0" fillId="2" borderId="25" xfId="0" applyNumberFormat="1" applyFill="1" applyBorder="1" applyAlignment="1">
      <alignment horizontal="right"/>
    </xf>
    <xf numFmtId="49" fontId="0" fillId="2" borderId="0" xfId="0" applyNumberFormat="1" applyFill="1" applyBorder="1" applyAlignment="1">
      <alignment horizontal="center"/>
    </xf>
    <xf numFmtId="181" fontId="0" fillId="2" borderId="0" xfId="0" applyNumberFormat="1" applyFill="1" applyBorder="1" applyAlignment="1">
      <alignment horizontal="right"/>
    </xf>
    <xf numFmtId="181" fontId="0" fillId="2" borderId="24" xfId="0" applyNumberFormat="1" applyFill="1" applyBorder="1"/>
    <xf numFmtId="49" fontId="0" fillId="2" borderId="8" xfId="0" applyNumberFormat="1" applyFill="1" applyBorder="1" applyAlignment="1">
      <alignment horizontal="center"/>
    </xf>
    <xf numFmtId="181" fontId="0" fillId="2" borderId="29" xfId="0" applyNumberFormat="1" applyFill="1" applyBorder="1" applyAlignment="1">
      <alignment horizontal="right"/>
    </xf>
    <xf numFmtId="181" fontId="0" fillId="2" borderId="30" xfId="0" applyNumberFormat="1" applyFill="1" applyBorder="1"/>
    <xf numFmtId="181" fontId="0" fillId="2" borderId="33" xfId="0" applyNumberFormat="1" applyFill="1" applyBorder="1" applyAlignment="1">
      <alignment horizontal="right"/>
    </xf>
    <xf numFmtId="181" fontId="0" fillId="2" borderId="25" xfId="0" applyNumberFormat="1" applyFill="1" applyBorder="1"/>
    <xf numFmtId="0" fontId="33" fillId="2" borderId="0" xfId="0" applyFont="1" applyFill="1" applyBorder="1" applyAlignment="1"/>
    <xf numFmtId="0" fontId="19" fillId="2" borderId="0" xfId="0" applyFont="1" applyFill="1" applyAlignment="1">
      <alignment horizontal="center" wrapText="1"/>
    </xf>
    <xf numFmtId="10" fontId="20" fillId="2" borderId="0" xfId="0" applyNumberFormat="1" applyFont="1" applyFill="1" applyBorder="1" applyAlignment="1">
      <alignment horizontal="left"/>
    </xf>
    <xf numFmtId="15" fontId="20" fillId="2" borderId="0" xfId="5" applyNumberFormat="1" applyFont="1" applyFill="1"/>
    <xf numFmtId="173" fontId="20" fillId="2" borderId="0" xfId="1" applyNumberFormat="1" applyFont="1" applyFill="1"/>
    <xf numFmtId="43" fontId="20" fillId="2" borderId="0" xfId="1" applyNumberFormat="1" applyFont="1" applyFill="1"/>
    <xf numFmtId="173" fontId="20" fillId="2" borderId="0" xfId="5" applyNumberFormat="1" applyFont="1" applyFill="1"/>
    <xf numFmtId="43" fontId="20" fillId="2" borderId="0" xfId="5" applyNumberFormat="1" applyFont="1" applyFill="1" applyAlignment="1">
      <alignment wrapText="1"/>
    </xf>
    <xf numFmtId="165" fontId="20" fillId="2" borderId="0" xfId="5" applyNumberFormat="1" applyFont="1" applyFill="1" applyAlignment="1">
      <alignment wrapText="1"/>
    </xf>
    <xf numFmtId="165" fontId="20" fillId="2" borderId="0" xfId="5" applyNumberFormat="1" applyFont="1" applyFill="1"/>
    <xf numFmtId="165" fontId="23" fillId="2" borderId="0" xfId="5" applyNumberFormat="1" applyFont="1" applyFill="1"/>
    <xf numFmtId="43" fontId="20" fillId="2" borderId="0" xfId="5" applyNumberFormat="1" applyFont="1" applyFill="1"/>
    <xf numFmtId="0" fontId="23" fillId="3" borderId="0" xfId="5" applyFont="1" applyFill="1"/>
    <xf numFmtId="43" fontId="20" fillId="0" borderId="2" xfId="1" applyFont="1" applyFill="1" applyBorder="1" applyAlignment="1">
      <alignment horizontal="center"/>
    </xf>
    <xf numFmtId="43" fontId="23" fillId="0" borderId="0" xfId="5" applyNumberFormat="1" applyFont="1" applyAlignment="1">
      <alignment wrapText="1"/>
    </xf>
    <xf numFmtId="43" fontId="1" fillId="0" borderId="0" xfId="1" applyFont="1" applyBorder="1"/>
    <xf numFmtId="43" fontId="23" fillId="2" borderId="0" xfId="5" applyNumberFormat="1" applyFont="1" applyFill="1" applyAlignment="1">
      <alignment wrapText="1"/>
    </xf>
    <xf numFmtId="0" fontId="23" fillId="2" borderId="17" xfId="0" applyFont="1" applyFill="1" applyBorder="1" applyAlignment="1">
      <alignment vertical="top"/>
    </xf>
    <xf numFmtId="0" fontId="0" fillId="2" borderId="29" xfId="0" applyFill="1" applyBorder="1"/>
    <xf numFmtId="3" fontId="0" fillId="2" borderId="0" xfId="0" applyNumberFormat="1" applyFill="1" applyAlignment="1">
      <alignment horizontal="left"/>
    </xf>
    <xf numFmtId="10" fontId="20" fillId="2" borderId="0" xfId="7" applyNumberFormat="1" applyFont="1" applyFill="1" applyAlignment="1">
      <alignment horizontal="left"/>
    </xf>
    <xf numFmtId="2" fontId="20" fillId="2" borderId="0" xfId="0" applyNumberFormat="1" applyFont="1" applyFill="1" applyAlignment="1">
      <alignment horizontal="left"/>
    </xf>
    <xf numFmtId="0" fontId="50" fillId="2" borderId="0" xfId="0" applyFont="1" applyFill="1" applyAlignment="1"/>
    <xf numFmtId="187" fontId="50" fillId="2" borderId="0" xfId="0" applyNumberFormat="1" applyFont="1" applyFill="1" applyAlignment="1">
      <alignment horizontal="right"/>
    </xf>
    <xf numFmtId="10" fontId="51" fillId="2" borderId="0" xfId="0" applyNumberFormat="1" applyFont="1" applyFill="1"/>
    <xf numFmtId="0" fontId="50" fillId="2" borderId="14" xfId="0" applyFont="1" applyFill="1" applyBorder="1" applyAlignment="1">
      <alignment horizontal="right"/>
    </xf>
    <xf numFmtId="188" fontId="50" fillId="2" borderId="14" xfId="0" applyNumberFormat="1" applyFont="1" applyFill="1" applyBorder="1" applyAlignment="1">
      <alignment horizontal="right"/>
    </xf>
    <xf numFmtId="186" fontId="50" fillId="2" borderId="14" xfId="0" applyNumberFormat="1" applyFont="1" applyFill="1" applyBorder="1"/>
    <xf numFmtId="0" fontId="50" fillId="2" borderId="14" xfId="0" applyFont="1" applyFill="1" applyBorder="1" applyAlignment="1">
      <alignment horizontal="left"/>
    </xf>
    <xf numFmtId="0" fontId="52" fillId="2" borderId="0" xfId="0" applyFont="1" applyFill="1" applyAlignment="1"/>
    <xf numFmtId="0" fontId="50" fillId="2" borderId="14" xfId="0" applyFont="1" applyFill="1" applyBorder="1" applyAlignment="1"/>
    <xf numFmtId="0" fontId="53" fillId="2" borderId="0" xfId="0" applyFont="1" applyFill="1" applyAlignment="1"/>
    <xf numFmtId="0" fontId="41" fillId="2" borderId="4" xfId="0" applyFont="1" applyFill="1" applyBorder="1" applyAlignment="1">
      <alignment wrapText="1"/>
    </xf>
    <xf numFmtId="0" fontId="55" fillId="2" borderId="0" xfId="0" applyFont="1" applyFill="1" applyBorder="1" applyAlignment="1"/>
    <xf numFmtId="187" fontId="20" fillId="2" borderId="10" xfId="0" applyNumberFormat="1" applyFont="1" applyFill="1" applyBorder="1" applyAlignment="1">
      <alignment horizontal="right"/>
    </xf>
    <xf numFmtId="0" fontId="20" fillId="2" borderId="1" xfId="0" applyFont="1" applyFill="1" applyBorder="1" applyAlignment="1"/>
    <xf numFmtId="187" fontId="20" fillId="2" borderId="0" xfId="0" applyNumberFormat="1" applyFont="1" applyFill="1" applyBorder="1" applyAlignment="1">
      <alignment horizontal="center"/>
    </xf>
    <xf numFmtId="0" fontId="20" fillId="2" borderId="3" xfId="0" applyFont="1" applyFill="1" applyBorder="1" applyAlignment="1"/>
    <xf numFmtId="187" fontId="20" fillId="2" borderId="4" xfId="0" applyNumberFormat="1" applyFont="1" applyFill="1" applyBorder="1" applyAlignment="1">
      <alignment horizontal="right"/>
    </xf>
    <xf numFmtId="10" fontId="20" fillId="2" borderId="4" xfId="0" applyNumberFormat="1" applyFont="1" applyFill="1" applyBorder="1"/>
    <xf numFmtId="187" fontId="20" fillId="2" borderId="5" xfId="0" applyNumberFormat="1" applyFont="1" applyFill="1" applyBorder="1" applyAlignment="1">
      <alignment horizontal="right"/>
    </xf>
    <xf numFmtId="0" fontId="23" fillId="2" borderId="9" xfId="0" applyFont="1" applyFill="1" applyBorder="1" applyAlignment="1"/>
    <xf numFmtId="10" fontId="20" fillId="2" borderId="11" xfId="0" applyNumberFormat="1" applyFont="1" applyFill="1" applyBorder="1"/>
    <xf numFmtId="3" fontId="20" fillId="2" borderId="1" xfId="0" applyNumberFormat="1" applyFont="1" applyFill="1" applyBorder="1" applyAlignment="1"/>
    <xf numFmtId="10" fontId="20" fillId="2" borderId="2" xfId="0" applyNumberFormat="1" applyFont="1" applyFill="1" applyBorder="1"/>
    <xf numFmtId="10" fontId="20" fillId="2" borderId="5" xfId="0" applyNumberFormat="1" applyFont="1" applyFill="1" applyBorder="1"/>
    <xf numFmtId="0" fontId="27" fillId="2" borderId="28" xfId="0" applyFont="1" applyFill="1" applyBorder="1" applyAlignment="1">
      <alignment vertical="top" wrapText="1"/>
    </xf>
    <xf numFmtId="0" fontId="27" fillId="2" borderId="38" xfId="0" applyFont="1" applyFill="1" applyBorder="1" applyAlignment="1">
      <alignment vertical="top" wrapText="1"/>
    </xf>
    <xf numFmtId="0" fontId="27" fillId="2" borderId="15" xfId="0" applyFont="1" applyFill="1" applyBorder="1" applyAlignment="1">
      <alignment vertical="top" wrapText="1"/>
    </xf>
    <xf numFmtId="0" fontId="20" fillId="2" borderId="38" xfId="0" applyFont="1" applyFill="1" applyBorder="1" applyAlignment="1">
      <alignment horizontal="center"/>
    </xf>
    <xf numFmtId="187" fontId="23" fillId="2" borderId="10" xfId="0" applyNumberFormat="1" applyFont="1" applyFill="1" applyBorder="1" applyAlignment="1">
      <alignment horizontal="center"/>
    </xf>
    <xf numFmtId="10" fontId="20" fillId="2" borderId="0" xfId="0" applyNumberFormat="1" applyFont="1" applyFill="1" applyBorder="1" applyAlignment="1">
      <alignment horizontal="center"/>
    </xf>
    <xf numFmtId="187" fontId="20" fillId="2" borderId="11" xfId="0" applyNumberFormat="1" applyFont="1" applyFill="1" applyBorder="1" applyAlignment="1">
      <alignment horizontal="right"/>
    </xf>
    <xf numFmtId="3" fontId="20" fillId="2" borderId="0" xfId="0" applyNumberFormat="1" applyFont="1" applyFill="1" applyBorder="1" applyAlignment="1"/>
    <xf numFmtId="187" fontId="20" fillId="2" borderId="2" xfId="0" applyNumberFormat="1" applyFont="1" applyFill="1" applyBorder="1" applyAlignment="1">
      <alignment horizontal="center"/>
    </xf>
    <xf numFmtId="0" fontId="20" fillId="2" borderId="2" xfId="0" applyFont="1" applyFill="1" applyBorder="1" applyAlignment="1">
      <alignment horizontal="center"/>
    </xf>
    <xf numFmtId="2" fontId="20" fillId="2" borderId="4" xfId="0" applyNumberFormat="1" applyFont="1" applyFill="1" applyBorder="1"/>
    <xf numFmtId="187" fontId="20" fillId="2" borderId="6" xfId="0" applyNumberFormat="1" applyFont="1" applyFill="1" applyBorder="1" applyAlignment="1">
      <alignment horizontal="right"/>
    </xf>
    <xf numFmtId="0" fontId="50" fillId="2" borderId="17" xfId="0" applyFont="1" applyFill="1" applyBorder="1" applyAlignment="1"/>
    <xf numFmtId="10" fontId="20" fillId="2" borderId="6" xfId="0" applyNumberFormat="1" applyFont="1" applyFill="1" applyBorder="1" applyAlignment="1"/>
    <xf numFmtId="187" fontId="20" fillId="2" borderId="16" xfId="0" applyNumberFormat="1" applyFont="1" applyFill="1" applyBorder="1" applyAlignment="1">
      <alignment horizontal="right"/>
    </xf>
    <xf numFmtId="0" fontId="55" fillId="2" borderId="17" xfId="0" applyFont="1" applyFill="1" applyBorder="1" applyAlignment="1"/>
    <xf numFmtId="10" fontId="20" fillId="2" borderId="6" xfId="0" applyNumberFormat="1" applyFont="1" applyFill="1" applyBorder="1" applyAlignment="1">
      <alignment vertical="top"/>
    </xf>
    <xf numFmtId="187" fontId="20" fillId="2" borderId="16" xfId="0" applyNumberFormat="1" applyFont="1" applyFill="1" applyBorder="1" applyAlignment="1">
      <alignment horizontal="right" vertical="top"/>
    </xf>
    <xf numFmtId="0" fontId="30" fillId="2" borderId="9" xfId="0" applyFont="1" applyFill="1" applyBorder="1" applyAlignment="1"/>
    <xf numFmtId="2" fontId="20" fillId="2" borderId="10" xfId="0" applyNumberFormat="1" applyFont="1" applyFill="1" applyBorder="1"/>
    <xf numFmtId="0" fontId="24" fillId="2" borderId="3" xfId="0" applyFont="1" applyFill="1" applyBorder="1" applyAlignment="1"/>
    <xf numFmtId="0" fontId="54" fillId="2" borderId="0" xfId="0" applyFont="1" applyFill="1" applyAlignment="1">
      <alignment horizontal="left"/>
    </xf>
    <xf numFmtId="0" fontId="54" fillId="2" borderId="0" xfId="0" applyFont="1" applyFill="1" applyAlignment="1">
      <alignment horizontal="center"/>
    </xf>
    <xf numFmtId="0" fontId="54" fillId="2" borderId="9" xfId="0" applyFont="1" applyFill="1" applyBorder="1" applyAlignment="1">
      <alignment horizontal="left"/>
    </xf>
    <xf numFmtId="10" fontId="23" fillId="2" borderId="9" xfId="0" applyNumberFormat="1" applyFont="1" applyFill="1" applyBorder="1" applyAlignment="1">
      <alignment horizontal="right"/>
    </xf>
    <xf numFmtId="3" fontId="20" fillId="2" borderId="1" xfId="0" applyNumberFormat="1" applyFont="1" applyFill="1" applyBorder="1" applyAlignment="1">
      <alignment horizontal="right"/>
    </xf>
    <xf numFmtId="0" fontId="23" fillId="2" borderId="28" xfId="0" applyFont="1" applyFill="1" applyBorder="1" applyAlignment="1">
      <alignment horizontal="right"/>
    </xf>
    <xf numFmtId="187" fontId="20" fillId="2" borderId="38" xfId="0" applyNumberFormat="1" applyFont="1" applyFill="1" applyBorder="1"/>
    <xf numFmtId="49" fontId="0" fillId="2" borderId="10" xfId="0" applyNumberFormat="1" applyFill="1" applyBorder="1" applyAlignment="1">
      <alignment horizontal="center"/>
    </xf>
    <xf numFmtId="181" fontId="0" fillId="2" borderId="10" xfId="0" applyNumberFormat="1" applyFill="1" applyBorder="1" applyAlignment="1">
      <alignment horizontal="right"/>
    </xf>
    <xf numFmtId="0" fontId="0" fillId="2" borderId="10" xfId="0" applyFill="1" applyBorder="1"/>
    <xf numFmtId="6" fontId="25" fillId="2" borderId="1" xfId="0" applyNumberFormat="1" applyFont="1" applyFill="1" applyBorder="1" applyAlignment="1">
      <alignment horizontal="right"/>
    </xf>
    <xf numFmtId="10" fontId="25" fillId="2" borderId="0" xfId="0" applyNumberFormat="1" applyFont="1" applyFill="1" applyBorder="1" applyAlignment="1">
      <alignment horizontal="right" wrapText="1"/>
    </xf>
    <xf numFmtId="0" fontId="0" fillId="2" borderId="39" xfId="0" applyFill="1" applyBorder="1"/>
    <xf numFmtId="0" fontId="0" fillId="2" borderId="40" xfId="0" applyFill="1" applyBorder="1"/>
    <xf numFmtId="0" fontId="0" fillId="2" borderId="1" xfId="0" applyFill="1" applyBorder="1"/>
    <xf numFmtId="0" fontId="5" fillId="5" borderId="41" xfId="0" applyFont="1" applyFill="1" applyBorder="1"/>
    <xf numFmtId="0" fontId="0" fillId="2" borderId="0" xfId="0" applyFill="1" applyBorder="1" applyAlignment="1">
      <alignment horizontal="center"/>
    </xf>
    <xf numFmtId="0" fontId="23" fillId="2" borderId="2" xfId="0" applyFont="1" applyFill="1" applyBorder="1"/>
    <xf numFmtId="0" fontId="20" fillId="2" borderId="3" xfId="0" applyFont="1" applyFill="1" applyBorder="1"/>
    <xf numFmtId="0" fontId="0" fillId="2" borderId="4" xfId="0" applyFill="1" applyBorder="1"/>
    <xf numFmtId="10" fontId="20" fillId="2" borderId="10" xfId="0" applyNumberFormat="1" applyFont="1" applyFill="1" applyBorder="1"/>
    <xf numFmtId="0" fontId="23" fillId="2" borderId="1" xfId="0" applyFont="1" applyFill="1" applyBorder="1" applyAlignment="1"/>
    <xf numFmtId="10" fontId="23" fillId="2" borderId="0" xfId="0" applyNumberFormat="1" applyFont="1" applyFill="1" applyBorder="1"/>
    <xf numFmtId="0" fontId="23" fillId="2" borderId="0" xfId="0" applyFont="1" applyFill="1" applyBorder="1" applyAlignment="1">
      <alignment horizontal="right"/>
    </xf>
    <xf numFmtId="43" fontId="20" fillId="2" borderId="4" xfId="0" applyNumberFormat="1" applyFont="1" applyFill="1" applyBorder="1" applyAlignment="1">
      <alignment horizontal="right"/>
    </xf>
    <xf numFmtId="10" fontId="20" fillId="2" borderId="4" xfId="7" applyNumberFormat="1" applyFont="1" applyFill="1" applyBorder="1" applyAlignment="1">
      <alignment horizontal="right"/>
    </xf>
    <xf numFmtId="0" fontId="20" fillId="2" borderId="16" xfId="0" applyFont="1" applyFill="1" applyBorder="1" applyAlignment="1">
      <alignment horizontal="right"/>
    </xf>
    <xf numFmtId="0" fontId="20" fillId="2" borderId="10" xfId="0" applyFont="1" applyFill="1" applyBorder="1" applyAlignment="1">
      <alignment horizontal="right"/>
    </xf>
    <xf numFmtId="3" fontId="20" fillId="2" borderId="11" xfId="0" applyNumberFormat="1" applyFont="1" applyFill="1" applyBorder="1" applyAlignment="1">
      <alignment horizontal="right"/>
    </xf>
    <xf numFmtId="0" fontId="23" fillId="2" borderId="1" xfId="0" applyFont="1" applyFill="1" applyBorder="1" applyAlignment="1">
      <alignment horizontal="right"/>
    </xf>
    <xf numFmtId="0" fontId="23" fillId="2" borderId="2" xfId="0" applyFont="1" applyFill="1" applyBorder="1" applyAlignment="1">
      <alignment horizontal="right"/>
    </xf>
    <xf numFmtId="43" fontId="20" fillId="2" borderId="1" xfId="0" applyNumberFormat="1" applyFont="1" applyFill="1" applyBorder="1" applyAlignment="1">
      <alignment horizontal="right"/>
    </xf>
    <xf numFmtId="10" fontId="20" fillId="2" borderId="2" xfId="7" applyNumberFormat="1" applyFont="1" applyFill="1" applyBorder="1" applyAlignment="1">
      <alignment horizontal="right"/>
    </xf>
    <xf numFmtId="43" fontId="20" fillId="2" borderId="3" xfId="0" applyNumberFormat="1" applyFont="1" applyFill="1" applyBorder="1" applyAlignment="1">
      <alignment horizontal="right"/>
    </xf>
    <xf numFmtId="10" fontId="20" fillId="2" borderId="5" xfId="7" applyNumberFormat="1" applyFont="1" applyFill="1" applyBorder="1" applyAlignment="1">
      <alignment horizontal="right"/>
    </xf>
    <xf numFmtId="10" fontId="20" fillId="2" borderId="1" xfId="0" applyNumberFormat="1" applyFont="1" applyFill="1" applyBorder="1"/>
    <xf numFmtId="10" fontId="23" fillId="2" borderId="17" xfId="0" applyNumberFormat="1" applyFont="1" applyFill="1" applyBorder="1"/>
    <xf numFmtId="10" fontId="19" fillId="2" borderId="6" xfId="0" applyNumberFormat="1" applyFont="1" applyFill="1" applyBorder="1" applyAlignment="1">
      <alignment horizontal="right"/>
    </xf>
    <xf numFmtId="0" fontId="19" fillId="2" borderId="16" xfId="0" applyFont="1" applyFill="1" applyBorder="1"/>
    <xf numFmtId="10" fontId="20" fillId="2" borderId="9" xfId="0" applyNumberFormat="1" applyFont="1" applyFill="1" applyBorder="1"/>
    <xf numFmtId="10" fontId="20" fillId="2" borderId="10" xfId="0" applyNumberFormat="1" applyFont="1" applyFill="1" applyBorder="1" applyAlignment="1">
      <alignment horizontal="right"/>
    </xf>
    <xf numFmtId="0" fontId="32" fillId="2" borderId="0" xfId="0" applyFont="1" applyFill="1" applyBorder="1" applyAlignment="1">
      <alignment horizontal="left" wrapText="1"/>
    </xf>
    <xf numFmtId="0" fontId="32" fillId="2" borderId="2" xfId="0" applyFont="1" applyFill="1" applyBorder="1" applyAlignment="1">
      <alignment horizontal="left" wrapText="1"/>
    </xf>
    <xf numFmtId="0" fontId="19" fillId="2" borderId="6" xfId="0" applyFont="1" applyFill="1" applyBorder="1" applyAlignment="1">
      <alignment horizontal="right"/>
    </xf>
    <xf numFmtId="0" fontId="23" fillId="2" borderId="38" xfId="0" applyFont="1" applyFill="1" applyBorder="1" applyAlignment="1"/>
    <xf numFmtId="0" fontId="20" fillId="2" borderId="38" xfId="0" applyFont="1" applyFill="1" applyBorder="1" applyAlignment="1"/>
    <xf numFmtId="0" fontId="49" fillId="2" borderId="1" xfId="0" applyFont="1" applyFill="1" applyBorder="1"/>
    <xf numFmtId="10" fontId="20" fillId="2" borderId="6" xfId="0" applyNumberFormat="1" applyFont="1" applyFill="1" applyBorder="1"/>
    <xf numFmtId="3" fontId="20" fillId="2" borderId="17" xfId="0" applyNumberFormat="1" applyFont="1" applyFill="1" applyBorder="1" applyAlignment="1">
      <alignment vertical="top"/>
    </xf>
    <xf numFmtId="0" fontId="20" fillId="2" borderId="6" xfId="0" applyFont="1" applyFill="1" applyBorder="1" applyAlignment="1">
      <alignment vertical="top"/>
    </xf>
    <xf numFmtId="10" fontId="23" fillId="2" borderId="16" xfId="0" applyNumberFormat="1" applyFont="1" applyFill="1" applyBorder="1" applyAlignment="1">
      <alignment vertical="top"/>
    </xf>
    <xf numFmtId="3" fontId="20" fillId="2" borderId="3" xfId="0" applyNumberFormat="1" applyFont="1" applyFill="1" applyBorder="1" applyAlignment="1"/>
    <xf numFmtId="0" fontId="20" fillId="2" borderId="4" xfId="0" applyFont="1" applyFill="1" applyBorder="1" applyAlignment="1"/>
    <xf numFmtId="10" fontId="23" fillId="2" borderId="11" xfId="0" applyNumberFormat="1" applyFont="1" applyFill="1" applyBorder="1"/>
    <xf numFmtId="10" fontId="23" fillId="2" borderId="2" xfId="0" applyNumberFormat="1" applyFont="1" applyFill="1" applyBorder="1"/>
    <xf numFmtId="187" fontId="20" fillId="2" borderId="1" xfId="0" applyNumberFormat="1" applyFont="1" applyFill="1" applyBorder="1" applyAlignment="1">
      <alignment horizontal="right"/>
    </xf>
    <xf numFmtId="187" fontId="20" fillId="2" borderId="3" xfId="0" applyNumberFormat="1" applyFont="1" applyFill="1" applyBorder="1" applyAlignment="1">
      <alignment horizontal="right"/>
    </xf>
    <xf numFmtId="10" fontId="23" fillId="2" borderId="5" xfId="0" applyNumberFormat="1" applyFont="1" applyFill="1" applyBorder="1"/>
    <xf numFmtId="10" fontId="20" fillId="2" borderId="16" xfId="0" applyNumberFormat="1" applyFont="1" applyFill="1" applyBorder="1"/>
    <xf numFmtId="3" fontId="23" fillId="2" borderId="9" xfId="0" applyNumberFormat="1" applyFont="1" applyFill="1" applyBorder="1" applyAlignment="1"/>
    <xf numFmtId="3" fontId="23" fillId="2" borderId="17" xfId="0" applyNumberFormat="1" applyFont="1" applyFill="1" applyBorder="1" applyAlignment="1">
      <alignment vertical="top"/>
    </xf>
    <xf numFmtId="187" fontId="20" fillId="2" borderId="6" xfId="0" applyNumberFormat="1" applyFont="1" applyFill="1" applyBorder="1" applyAlignment="1">
      <alignment horizontal="right" vertical="top"/>
    </xf>
    <xf numFmtId="10" fontId="20" fillId="2" borderId="16" xfId="0" applyNumberFormat="1" applyFont="1" applyFill="1" applyBorder="1" applyAlignment="1">
      <alignment vertical="top"/>
    </xf>
    <xf numFmtId="10" fontId="23" fillId="2" borderId="10" xfId="0" applyNumberFormat="1" applyFont="1" applyFill="1" applyBorder="1" applyAlignment="1">
      <alignment horizontal="center"/>
    </xf>
    <xf numFmtId="0" fontId="23" fillId="2" borderId="11" xfId="0" applyFont="1" applyFill="1" applyBorder="1" applyAlignment="1">
      <alignment horizontal="center"/>
    </xf>
    <xf numFmtId="10" fontId="20" fillId="2" borderId="4" xfId="0" applyNumberFormat="1" applyFont="1" applyFill="1" applyBorder="1" applyAlignment="1">
      <alignment horizontal="center"/>
    </xf>
    <xf numFmtId="187" fontId="20" fillId="2" borderId="4" xfId="0" applyNumberFormat="1" applyFont="1" applyFill="1" applyBorder="1" applyAlignment="1">
      <alignment horizontal="center"/>
    </xf>
    <xf numFmtId="0" fontId="20" fillId="2" borderId="5" xfId="0" applyFont="1" applyFill="1" applyBorder="1" applyAlignment="1">
      <alignment horizontal="center"/>
    </xf>
    <xf numFmtId="0" fontId="20" fillId="2" borderId="1" xfId="0" applyFont="1" applyFill="1" applyBorder="1" applyAlignment="1">
      <alignment horizontal="center"/>
    </xf>
    <xf numFmtId="0" fontId="20" fillId="2" borderId="3" xfId="0" applyFont="1" applyFill="1" applyBorder="1" applyAlignment="1">
      <alignment horizontal="center"/>
    </xf>
    <xf numFmtId="0" fontId="55" fillId="2" borderId="0" xfId="0" applyFont="1" applyFill="1" applyAlignment="1">
      <alignment horizontal="left"/>
    </xf>
    <xf numFmtId="3" fontId="19" fillId="2" borderId="10" xfId="0" applyNumberFormat="1" applyFont="1" applyFill="1" applyBorder="1" applyAlignment="1">
      <alignment horizontal="center" wrapText="1"/>
    </xf>
    <xf numFmtId="166" fontId="20" fillId="2" borderId="0" xfId="7" applyNumberFormat="1" applyFont="1" applyFill="1" applyBorder="1" applyAlignment="1">
      <alignment horizontal="right"/>
    </xf>
    <xf numFmtId="3" fontId="23" fillId="2" borderId="3" xfId="0" applyNumberFormat="1" applyFont="1" applyFill="1" applyBorder="1" applyAlignment="1">
      <alignment wrapText="1"/>
    </xf>
    <xf numFmtId="0" fontId="0" fillId="2" borderId="0" xfId="0" applyFill="1" applyBorder="1" applyAlignment="1">
      <alignment wrapText="1"/>
    </xf>
    <xf numFmtId="3" fontId="54" fillId="2" borderId="1" xfId="0" applyNumberFormat="1" applyFont="1" applyFill="1" applyBorder="1" applyAlignment="1"/>
    <xf numFmtId="3" fontId="54" fillId="2" borderId="9" xfId="0" applyNumberFormat="1" applyFont="1" applyFill="1" applyBorder="1" applyAlignment="1">
      <alignment wrapText="1"/>
    </xf>
    <xf numFmtId="0" fontId="27" fillId="2" borderId="9" xfId="0" applyFont="1" applyFill="1" applyBorder="1" applyAlignment="1">
      <alignment vertical="top"/>
    </xf>
    <xf numFmtId="187" fontId="56" fillId="2" borderId="10" xfId="0" applyNumberFormat="1" applyFont="1" applyFill="1" applyBorder="1" applyAlignment="1">
      <alignment horizontal="left"/>
    </xf>
    <xf numFmtId="10" fontId="56" fillId="2" borderId="10" xfId="0" applyNumberFormat="1" applyFont="1" applyFill="1" applyBorder="1" applyAlignment="1">
      <alignment vertical="top"/>
    </xf>
    <xf numFmtId="187" fontId="56" fillId="2" borderId="11" xfId="0" applyNumberFormat="1" applyFont="1" applyFill="1" applyBorder="1" applyAlignment="1">
      <alignment horizontal="right" vertical="top"/>
    </xf>
    <xf numFmtId="0" fontId="27" fillId="2" borderId="1" xfId="0" applyFont="1" applyFill="1" applyBorder="1" applyAlignment="1">
      <alignment vertical="top"/>
    </xf>
    <xf numFmtId="0" fontId="56" fillId="2" borderId="0" xfId="0" applyFont="1" applyFill="1" applyBorder="1" applyAlignment="1">
      <alignment horizontal="left" vertical="top"/>
    </xf>
    <xf numFmtId="10" fontId="56" fillId="2" borderId="0" xfId="0" applyNumberFormat="1" applyFont="1" applyFill="1" applyBorder="1" applyAlignment="1">
      <alignment vertical="top"/>
    </xf>
    <xf numFmtId="187" fontId="56" fillId="2" borderId="2" xfId="0" applyNumberFormat="1" applyFont="1" applyFill="1" applyBorder="1" applyAlignment="1">
      <alignment horizontal="right" vertical="top"/>
    </xf>
    <xf numFmtId="189" fontId="56" fillId="2" borderId="0" xfId="0" applyNumberFormat="1" applyFont="1" applyFill="1" applyBorder="1" applyAlignment="1">
      <alignment horizontal="left"/>
    </xf>
    <xf numFmtId="187" fontId="56" fillId="2" borderId="0" xfId="0" applyNumberFormat="1" applyFont="1" applyFill="1" applyBorder="1" applyAlignment="1">
      <alignment horizontal="left"/>
    </xf>
    <xf numFmtId="187" fontId="56" fillId="2" borderId="0" xfId="0" applyNumberFormat="1" applyFont="1" applyFill="1" applyBorder="1" applyAlignment="1">
      <alignment horizontal="right"/>
    </xf>
    <xf numFmtId="0" fontId="54" fillId="2" borderId="1" xfId="0" applyFont="1" applyFill="1" applyBorder="1" applyAlignment="1">
      <alignment vertical="top"/>
    </xf>
    <xf numFmtId="187" fontId="27" fillId="2" borderId="0" xfId="0" applyNumberFormat="1" applyFont="1" applyFill="1" applyBorder="1" applyAlignment="1">
      <alignment horizontal="center"/>
    </xf>
    <xf numFmtId="10" fontId="27" fillId="2" borderId="2" xfId="0" applyNumberFormat="1" applyFont="1" applyFill="1" applyBorder="1" applyAlignment="1">
      <alignment horizontal="center"/>
    </xf>
    <xf numFmtId="0" fontId="56" fillId="2" borderId="1" xfId="0" applyFont="1" applyFill="1" applyBorder="1" applyAlignment="1"/>
    <xf numFmtId="187" fontId="56" fillId="2" borderId="0" xfId="0" applyNumberFormat="1" applyFont="1" applyFill="1" applyBorder="1" applyAlignment="1">
      <alignment horizontal="center"/>
    </xf>
    <xf numFmtId="10" fontId="56" fillId="2" borderId="2" xfId="0" applyNumberFormat="1" applyFont="1" applyFill="1" applyBorder="1" applyAlignment="1">
      <alignment horizontal="center"/>
    </xf>
    <xf numFmtId="0" fontId="56" fillId="2" borderId="3" xfId="0" applyFont="1" applyFill="1" applyBorder="1" applyAlignment="1"/>
    <xf numFmtId="187" fontId="56" fillId="2" borderId="4" xfId="0" applyNumberFormat="1" applyFont="1" applyFill="1" applyBorder="1" applyAlignment="1">
      <alignment horizontal="right"/>
    </xf>
    <xf numFmtId="10" fontId="56" fillId="2" borderId="4" xfId="0" applyNumberFormat="1" applyFont="1" applyFill="1" applyBorder="1"/>
    <xf numFmtId="187" fontId="56" fillId="2" borderId="5" xfId="0" applyNumberFormat="1" applyFont="1" applyFill="1" applyBorder="1" applyAlignment="1">
      <alignment horizontal="right"/>
    </xf>
    <xf numFmtId="0" fontId="27" fillId="2" borderId="17" xfId="0" applyFont="1" applyFill="1" applyBorder="1" applyAlignment="1"/>
    <xf numFmtId="0" fontId="27" fillId="2" borderId="14" xfId="0" applyFont="1" applyFill="1" applyBorder="1" applyAlignment="1">
      <alignment horizontal="center"/>
    </xf>
    <xf numFmtId="187" fontId="27" fillId="2" borderId="16" xfId="0" applyNumberFormat="1" applyFont="1" applyFill="1" applyBorder="1" applyAlignment="1">
      <alignment horizontal="center"/>
    </xf>
    <xf numFmtId="3" fontId="54" fillId="2" borderId="0" xfId="0" applyNumberFormat="1" applyFont="1" applyFill="1" applyBorder="1" applyAlignment="1"/>
    <xf numFmtId="0" fontId="20" fillId="2" borderId="42" xfId="0" applyFont="1" applyFill="1" applyBorder="1" applyAlignment="1"/>
    <xf numFmtId="181" fontId="0" fillId="2" borderId="0" xfId="0" applyNumberFormat="1" applyFill="1" applyBorder="1"/>
    <xf numFmtId="181" fontId="0" fillId="2" borderId="13" xfId="0" applyNumberFormat="1" applyFill="1" applyBorder="1" applyAlignment="1">
      <alignment horizontal="right"/>
    </xf>
    <xf numFmtId="43" fontId="20" fillId="2" borderId="0" xfId="1" applyFont="1" applyFill="1" applyBorder="1" applyAlignment="1">
      <alignment horizontal="right"/>
    </xf>
    <xf numFmtId="10" fontId="20" fillId="2" borderId="7" xfId="0" applyNumberFormat="1" applyFont="1" applyFill="1" applyBorder="1"/>
    <xf numFmtId="189" fontId="20" fillId="2" borderId="2" xfId="0" applyNumberFormat="1" applyFont="1" applyFill="1" applyBorder="1" applyAlignment="1">
      <alignment horizontal="center"/>
    </xf>
    <xf numFmtId="187" fontId="20" fillId="2" borderId="38" xfId="0" applyNumberFormat="1" applyFont="1" applyFill="1" applyBorder="1" applyAlignment="1">
      <alignment horizontal="center"/>
    </xf>
    <xf numFmtId="10" fontId="20" fillId="2" borderId="2" xfId="0" applyNumberFormat="1" applyFont="1" applyFill="1" applyBorder="1" applyAlignment="1">
      <alignment horizontal="center"/>
    </xf>
    <xf numFmtId="2" fontId="20" fillId="2" borderId="38" xfId="0" applyNumberFormat="1" applyFont="1" applyFill="1" applyBorder="1" applyAlignment="1">
      <alignment horizontal="center"/>
    </xf>
    <xf numFmtId="10" fontId="20" fillId="2" borderId="38" xfId="0" applyNumberFormat="1" applyFont="1" applyFill="1" applyBorder="1" applyAlignment="1">
      <alignment horizontal="center"/>
    </xf>
    <xf numFmtId="2" fontId="20" fillId="2" borderId="15" xfId="0" applyNumberFormat="1" applyFont="1" applyFill="1" applyBorder="1"/>
    <xf numFmtId="172" fontId="29" fillId="13" borderId="17" xfId="6" applyNumberFormat="1" applyFont="1" applyFill="1" applyBorder="1" applyAlignment="1">
      <alignment horizontal="left" vertical="center" wrapText="1"/>
    </xf>
    <xf numFmtId="0" fontId="20" fillId="2" borderId="9" xfId="0" applyFont="1" applyFill="1" applyBorder="1" applyAlignment="1">
      <alignment horizontal="right"/>
    </xf>
    <xf numFmtId="0" fontId="20" fillId="2" borderId="28" xfId="0" applyFont="1" applyFill="1" applyBorder="1"/>
    <xf numFmtId="165" fontId="20" fillId="2" borderId="1" xfId="0" applyNumberFormat="1" applyFont="1" applyFill="1" applyBorder="1" applyAlignment="1">
      <alignment horizontal="right"/>
    </xf>
    <xf numFmtId="43" fontId="20" fillId="2" borderId="38" xfId="0" applyNumberFormat="1" applyFont="1" applyFill="1" applyBorder="1"/>
    <xf numFmtId="10" fontId="20" fillId="2" borderId="3" xfId="0" applyNumberFormat="1" applyFont="1" applyFill="1" applyBorder="1"/>
    <xf numFmtId="187" fontId="20" fillId="2" borderId="15" xfId="0" applyNumberFormat="1" applyFont="1" applyFill="1" applyBorder="1" applyAlignment="1">
      <alignment horizontal="right"/>
    </xf>
    <xf numFmtId="15" fontId="1" fillId="10" borderId="0" xfId="5" applyNumberFormat="1" applyFill="1"/>
    <xf numFmtId="165" fontId="1" fillId="10" borderId="13" xfId="1" applyNumberFormat="1" applyFill="1" applyBorder="1"/>
    <xf numFmtId="165" fontId="1" fillId="10" borderId="0" xfId="1" applyNumberFormat="1" applyFill="1" applyBorder="1"/>
    <xf numFmtId="165" fontId="1" fillId="10" borderId="0" xfId="5" applyNumberFormat="1" applyFill="1" applyBorder="1"/>
    <xf numFmtId="165" fontId="1" fillId="10" borderId="36" xfId="5" applyNumberFormat="1" applyFill="1" applyBorder="1"/>
    <xf numFmtId="15" fontId="1" fillId="10" borderId="13" xfId="5" applyNumberFormat="1" applyFill="1" applyBorder="1"/>
    <xf numFmtId="0" fontId="1" fillId="10" borderId="0" xfId="5" applyFill="1" applyBorder="1"/>
    <xf numFmtId="0" fontId="1" fillId="10" borderId="36" xfId="5" applyFill="1" applyBorder="1"/>
    <xf numFmtId="0" fontId="1" fillId="10" borderId="13" xfId="5" applyFill="1" applyBorder="1"/>
    <xf numFmtId="43" fontId="1" fillId="10" borderId="13" xfId="5" applyNumberFormat="1" applyFill="1" applyBorder="1"/>
    <xf numFmtId="43" fontId="1" fillId="10" borderId="0" xfId="5" applyNumberFormat="1" applyFill="1" applyBorder="1"/>
    <xf numFmtId="43" fontId="1" fillId="10" borderId="36" xfId="5" applyNumberFormat="1" applyFill="1" applyBorder="1"/>
    <xf numFmtId="0" fontId="1" fillId="10" borderId="0" xfId="5" applyFill="1"/>
    <xf numFmtId="15" fontId="20" fillId="10" borderId="0" xfId="5" applyNumberFormat="1" applyFont="1" applyFill="1"/>
    <xf numFmtId="43" fontId="20" fillId="10" borderId="0" xfId="5" applyNumberFormat="1" applyFont="1" applyFill="1" applyAlignment="1">
      <alignment wrapText="1"/>
    </xf>
    <xf numFmtId="15" fontId="1" fillId="10" borderId="0" xfId="5" applyNumberFormat="1" applyFill="1" applyBorder="1"/>
    <xf numFmtId="165" fontId="1" fillId="10" borderId="32" xfId="5" applyNumberFormat="1" applyFill="1" applyBorder="1"/>
    <xf numFmtId="43" fontId="1" fillId="10" borderId="13" xfId="1" applyFill="1" applyBorder="1"/>
    <xf numFmtId="43" fontId="1" fillId="10" borderId="0" xfId="1" applyFill="1" applyBorder="1"/>
    <xf numFmtId="43" fontId="1" fillId="10" borderId="36" xfId="1" applyFill="1" applyBorder="1"/>
    <xf numFmtId="165" fontId="28" fillId="0" borderId="13" xfId="1" applyNumberFormat="1" applyFont="1" applyFill="1" applyBorder="1"/>
    <xf numFmtId="43" fontId="20" fillId="0" borderId="13" xfId="1" applyFont="1" applyFill="1" applyBorder="1" applyAlignment="1">
      <alignment horizontal="center"/>
    </xf>
    <xf numFmtId="43" fontId="20" fillId="0" borderId="36" xfId="1" applyFont="1" applyFill="1" applyBorder="1" applyAlignment="1">
      <alignment horizontal="center"/>
    </xf>
    <xf numFmtId="10" fontId="22" fillId="2" borderId="0" xfId="0" applyNumberFormat="1" applyFont="1" applyFill="1" applyAlignment="1"/>
    <xf numFmtId="0" fontId="55" fillId="2" borderId="9" xfId="0" applyFont="1" applyFill="1" applyBorder="1" applyAlignment="1">
      <alignment horizontal="left"/>
    </xf>
    <xf numFmtId="181" fontId="20" fillId="2" borderId="0" xfId="0" applyNumberFormat="1" applyFont="1" applyFill="1" applyBorder="1"/>
    <xf numFmtId="3" fontId="20" fillId="2" borderId="1" xfId="0" applyNumberFormat="1" applyFont="1" applyFill="1" applyBorder="1"/>
    <xf numFmtId="0" fontId="10" fillId="0" borderId="0" xfId="4" applyFont="1"/>
    <xf numFmtId="165" fontId="1" fillId="0" borderId="28" xfId="5" applyNumberFormat="1" applyBorder="1"/>
    <xf numFmtId="165" fontId="1" fillId="0" borderId="38" xfId="5" applyNumberFormat="1" applyBorder="1"/>
    <xf numFmtId="165" fontId="1" fillId="0" borderId="15" xfId="5" applyNumberFormat="1" applyBorder="1"/>
    <xf numFmtId="165" fontId="1" fillId="0" borderId="9" xfId="1" applyNumberFormat="1" applyBorder="1"/>
    <xf numFmtId="165" fontId="1" fillId="0" borderId="10" xfId="1" applyNumberFormat="1" applyBorder="1"/>
    <xf numFmtId="165" fontId="1" fillId="0" borderId="11" xfId="1" applyNumberFormat="1" applyBorder="1"/>
    <xf numFmtId="165" fontId="1" fillId="0" borderId="1" xfId="1" applyNumberFormat="1" applyBorder="1"/>
    <xf numFmtId="165" fontId="1" fillId="0" borderId="2" xfId="1" applyNumberFormat="1" applyBorder="1"/>
    <xf numFmtId="165" fontId="1" fillId="0" borderId="3" xfId="1" applyNumberFormat="1" applyFill="1" applyBorder="1"/>
    <xf numFmtId="165" fontId="1" fillId="0" borderId="4" xfId="1" applyNumberFormat="1" applyBorder="1"/>
    <xf numFmtId="165" fontId="1" fillId="0" borderId="5" xfId="1" applyNumberFormat="1" applyBorder="1"/>
    <xf numFmtId="15" fontId="1" fillId="0" borderId="9" xfId="5" applyNumberFormat="1" applyFill="1" applyBorder="1"/>
    <xf numFmtId="15" fontId="1" fillId="0" borderId="11" xfId="5" applyNumberFormat="1" applyFont="1" applyFill="1" applyBorder="1"/>
    <xf numFmtId="15" fontId="1" fillId="0" borderId="1" xfId="5" applyNumberFormat="1" applyFill="1" applyBorder="1"/>
    <xf numFmtId="15" fontId="1" fillId="0" borderId="2" xfId="5" applyNumberFormat="1" applyFont="1" applyFill="1" applyBorder="1"/>
    <xf numFmtId="15" fontId="1" fillId="0" borderId="3" xfId="5" applyNumberFormat="1" applyFill="1" applyBorder="1"/>
    <xf numFmtId="15" fontId="1" fillId="0" borderId="5" xfId="5" applyNumberFormat="1" applyFont="1" applyFill="1" applyBorder="1"/>
    <xf numFmtId="0" fontId="1" fillId="0" borderId="4" xfId="1" applyNumberFormat="1" applyFill="1" applyBorder="1"/>
    <xf numFmtId="0" fontId="1" fillId="0" borderId="4" xfId="5" applyFont="1" applyBorder="1"/>
    <xf numFmtId="10" fontId="20" fillId="0" borderId="0" xfId="0" applyNumberFormat="1" applyFont="1" applyFill="1" applyBorder="1"/>
    <xf numFmtId="15" fontId="1" fillId="0" borderId="14" xfId="5" applyNumberFormat="1" applyFont="1" applyBorder="1" applyAlignment="1">
      <alignment horizontal="center"/>
    </xf>
    <xf numFmtId="188" fontId="50" fillId="2" borderId="0" xfId="0" applyNumberFormat="1" applyFont="1" applyFill="1" applyBorder="1" applyAlignment="1">
      <alignment horizontal="right"/>
    </xf>
    <xf numFmtId="0" fontId="1" fillId="0" borderId="11" xfId="5" applyBorder="1"/>
    <xf numFmtId="0" fontId="5" fillId="0" borderId="0" xfId="5" applyFont="1" applyBorder="1"/>
    <xf numFmtId="0" fontId="1" fillId="4" borderId="9" xfId="5" applyFill="1" applyBorder="1"/>
    <xf numFmtId="0" fontId="1" fillId="4" borderId="10" xfId="5" applyFill="1" applyBorder="1"/>
    <xf numFmtId="0" fontId="1" fillId="4" borderId="1" xfId="5" applyFill="1" applyBorder="1"/>
    <xf numFmtId="0" fontId="1" fillId="4" borderId="0" xfId="5" applyFill="1" applyBorder="1"/>
    <xf numFmtId="0" fontId="1" fillId="4" borderId="3" xfId="5" applyFill="1" applyBorder="1"/>
    <xf numFmtId="0" fontId="1" fillId="4" borderId="4" xfId="5" applyFill="1" applyBorder="1"/>
    <xf numFmtId="165" fontId="1" fillId="0" borderId="0" xfId="5" applyNumberFormat="1" applyFill="1" applyBorder="1"/>
    <xf numFmtId="165" fontId="1" fillId="0" borderId="36" xfId="5" applyNumberFormat="1" applyFill="1" applyBorder="1"/>
    <xf numFmtId="0" fontId="1" fillId="0" borderId="0" xfId="5" applyFill="1" applyBorder="1"/>
    <xf numFmtId="0" fontId="1" fillId="0" borderId="36" xfId="5" applyFill="1" applyBorder="1"/>
    <xf numFmtId="0" fontId="1" fillId="0" borderId="13" xfId="5" applyFill="1" applyBorder="1"/>
    <xf numFmtId="43" fontId="1" fillId="0" borderId="0" xfId="5" applyNumberFormat="1" applyFill="1" applyBorder="1"/>
    <xf numFmtId="43" fontId="1" fillId="0" borderId="36" xfId="5" applyNumberFormat="1" applyFill="1" applyBorder="1"/>
    <xf numFmtId="0" fontId="1" fillId="0" borderId="0" xfId="5" applyFill="1"/>
    <xf numFmtId="165" fontId="1" fillId="0" borderId="32" xfId="5" applyNumberFormat="1" applyFill="1" applyBorder="1"/>
    <xf numFmtId="43" fontId="1" fillId="0" borderId="13" xfId="1" applyFill="1" applyBorder="1"/>
    <xf numFmtId="43" fontId="1" fillId="0" borderId="0" xfId="1" applyFill="1" applyBorder="1"/>
    <xf numFmtId="43" fontId="1" fillId="0" borderId="36" xfId="1" applyFill="1" applyBorder="1"/>
    <xf numFmtId="10" fontId="20" fillId="2" borderId="12" xfId="0" applyNumberFormat="1" applyFont="1" applyFill="1" applyBorder="1" applyAlignment="1">
      <alignment horizontal="right"/>
    </xf>
    <xf numFmtId="0" fontId="25" fillId="2" borderId="0" xfId="0" applyFont="1" applyFill="1" applyBorder="1" applyAlignment="1">
      <alignment horizontal="right" wrapText="1"/>
    </xf>
    <xf numFmtId="3" fontId="0" fillId="2" borderId="38" xfId="0" applyNumberFormat="1" applyFill="1" applyBorder="1" applyAlignment="1">
      <alignment horizontal="center"/>
    </xf>
    <xf numFmtId="187" fontId="23" fillId="3" borderId="0" xfId="0" applyNumberFormat="1" applyFont="1" applyFill="1" applyAlignment="1">
      <alignment horizontal="right"/>
    </xf>
    <xf numFmtId="10" fontId="27" fillId="2" borderId="0" xfId="0" applyNumberFormat="1" applyFont="1" applyFill="1" applyAlignment="1"/>
    <xf numFmtId="165" fontId="59" fillId="2" borderId="0" xfId="1" applyNumberFormat="1" applyFont="1" applyFill="1" applyAlignment="1">
      <alignment horizontal="right"/>
    </xf>
    <xf numFmtId="186" fontId="56" fillId="2" borderId="0" xfId="0" applyNumberFormat="1" applyFont="1" applyFill="1" applyAlignment="1">
      <alignment horizontal="center"/>
    </xf>
    <xf numFmtId="0" fontId="56" fillId="2" borderId="0" xfId="0" applyFont="1" applyFill="1"/>
    <xf numFmtId="3" fontId="54" fillId="2" borderId="10" xfId="0" applyNumberFormat="1" applyFont="1" applyFill="1" applyBorder="1" applyAlignment="1">
      <alignment horizontal="center" wrapText="1"/>
    </xf>
    <xf numFmtId="3" fontId="27" fillId="2" borderId="1" xfId="0" applyNumberFormat="1" applyFont="1" applyFill="1" applyBorder="1" applyAlignment="1"/>
    <xf numFmtId="10" fontId="56" fillId="2" borderId="0" xfId="0" applyNumberFormat="1" applyFont="1" applyFill="1" applyBorder="1"/>
    <xf numFmtId="0" fontId="56" fillId="2" borderId="0" xfId="0" applyFont="1" applyFill="1" applyBorder="1"/>
    <xf numFmtId="192" fontId="56" fillId="2" borderId="0" xfId="0" applyNumberFormat="1" applyFont="1" applyFill="1" applyBorder="1" applyAlignment="1">
      <alignment horizontal="center"/>
    </xf>
    <xf numFmtId="10" fontId="27" fillId="2" borderId="1" xfId="0" applyNumberFormat="1" applyFont="1" applyFill="1" applyBorder="1" applyAlignment="1"/>
    <xf numFmtId="186" fontId="56" fillId="2" borderId="0" xfId="0" applyNumberFormat="1" applyFont="1" applyFill="1" applyBorder="1" applyAlignment="1">
      <alignment horizontal="center"/>
    </xf>
    <xf numFmtId="3" fontId="27" fillId="2" borderId="1" xfId="0" applyNumberFormat="1" applyFont="1" applyFill="1" applyBorder="1" applyAlignment="1">
      <alignment wrapText="1"/>
    </xf>
    <xf numFmtId="3" fontId="54" fillId="2" borderId="0" xfId="0" applyNumberFormat="1" applyFont="1" applyFill="1" applyBorder="1" applyAlignment="1">
      <alignment horizontal="center" wrapText="1"/>
    </xf>
    <xf numFmtId="0" fontId="56" fillId="2" borderId="1" xfId="5" applyFont="1" applyFill="1" applyBorder="1" applyAlignment="1"/>
    <xf numFmtId="0" fontId="56" fillId="2" borderId="0" xfId="0" applyFont="1" applyFill="1" applyBorder="1" applyAlignment="1">
      <alignment horizontal="center"/>
    </xf>
    <xf numFmtId="196" fontId="56" fillId="2" borderId="0" xfId="0" applyNumberFormat="1" applyFont="1" applyFill="1" applyBorder="1" applyAlignment="1">
      <alignment horizontal="center"/>
    </xf>
    <xf numFmtId="195" fontId="56" fillId="2" borderId="0" xfId="0" applyNumberFormat="1" applyFont="1" applyFill="1" applyBorder="1" applyAlignment="1">
      <alignment horizontal="center"/>
    </xf>
    <xf numFmtId="194" fontId="56" fillId="2" borderId="0" xfId="0" applyNumberFormat="1" applyFont="1" applyFill="1" applyBorder="1" applyAlignment="1">
      <alignment horizontal="center"/>
    </xf>
    <xf numFmtId="0" fontId="56" fillId="2" borderId="0" xfId="0" applyFont="1" applyFill="1" applyBorder="1" applyAlignment="1">
      <alignment horizontal="center" wrapText="1"/>
    </xf>
    <xf numFmtId="191" fontId="56" fillId="2" borderId="0" xfId="0" applyNumberFormat="1" applyFont="1" applyFill="1" applyBorder="1" applyAlignment="1">
      <alignment horizontal="center"/>
    </xf>
    <xf numFmtId="0" fontId="56" fillId="2" borderId="4" xfId="0" applyFont="1" applyFill="1" applyBorder="1"/>
    <xf numFmtId="192" fontId="56" fillId="2" borderId="4" xfId="0" applyNumberFormat="1" applyFont="1" applyFill="1" applyBorder="1" applyAlignment="1">
      <alignment horizontal="center"/>
    </xf>
    <xf numFmtId="0" fontId="56" fillId="2" borderId="0" xfId="0" applyFont="1" applyFill="1" applyBorder="1" applyAlignment="1"/>
    <xf numFmtId="10" fontId="56" fillId="2" borderId="0" xfId="0" applyNumberFormat="1" applyFont="1" applyFill="1"/>
    <xf numFmtId="192" fontId="56" fillId="2" borderId="0" xfId="0" applyNumberFormat="1" applyFont="1" applyFill="1" applyAlignment="1">
      <alignment horizontal="center"/>
    </xf>
    <xf numFmtId="0" fontId="20" fillId="2" borderId="17" xfId="0" applyFont="1" applyFill="1" applyBorder="1" applyAlignment="1">
      <alignment vertical="top"/>
    </xf>
    <xf numFmtId="0" fontId="20" fillId="2" borderId="14" xfId="0" applyFont="1" applyFill="1" applyBorder="1" applyAlignment="1">
      <alignment vertical="top" wrapText="1"/>
    </xf>
    <xf numFmtId="207" fontId="56" fillId="2" borderId="0" xfId="0" applyNumberFormat="1" applyFont="1" applyFill="1" applyBorder="1" applyAlignment="1">
      <alignment horizontal="center"/>
    </xf>
    <xf numFmtId="187" fontId="20" fillId="4" borderId="14" xfId="0" applyNumberFormat="1" applyFont="1" applyFill="1" applyBorder="1" applyAlignment="1">
      <alignment horizontal="left" vertical="top"/>
    </xf>
    <xf numFmtId="187" fontId="19" fillId="2" borderId="0" xfId="0" applyNumberFormat="1" applyFont="1" applyFill="1" applyAlignment="1">
      <alignment horizontal="left"/>
    </xf>
    <xf numFmtId="10" fontId="19" fillId="2" borderId="0" xfId="0" applyNumberFormat="1" applyFont="1" applyFill="1"/>
    <xf numFmtId="172" fontId="29" fillId="0" borderId="14" xfId="6" applyNumberFormat="1" applyFont="1" applyFill="1" applyBorder="1" applyAlignment="1">
      <alignment horizontal="left" vertical="center" wrapText="1"/>
    </xf>
    <xf numFmtId="43" fontId="1" fillId="4" borderId="0" xfId="5" applyNumberFormat="1" applyFill="1" applyBorder="1"/>
    <xf numFmtId="43" fontId="1" fillId="4" borderId="36" xfId="5" applyNumberFormat="1" applyFill="1" applyBorder="1"/>
    <xf numFmtId="43" fontId="1" fillId="11" borderId="0" xfId="1" applyNumberFormat="1" applyFill="1" applyBorder="1"/>
    <xf numFmtId="43" fontId="1" fillId="10" borderId="0" xfId="1" applyNumberFormat="1" applyFill="1" applyBorder="1"/>
    <xf numFmtId="43" fontId="1" fillId="0" borderId="0" xfId="1" applyNumberFormat="1" applyBorder="1"/>
    <xf numFmtId="43" fontId="22" fillId="4" borderId="0" xfId="5" applyNumberFormat="1" applyFont="1" applyFill="1" applyAlignment="1">
      <alignment wrapText="1"/>
    </xf>
    <xf numFmtId="43" fontId="1" fillId="0" borderId="13" xfId="1" applyNumberFormat="1" applyFill="1" applyBorder="1"/>
    <xf numFmtId="214" fontId="1" fillId="0" borderId="0" xfId="5" applyNumberFormat="1" applyBorder="1"/>
    <xf numFmtId="165" fontId="1" fillId="0" borderId="13" xfId="5" applyNumberFormat="1" applyFill="1" applyBorder="1"/>
    <xf numFmtId="165" fontId="20" fillId="0" borderId="13" xfId="1" applyNumberFormat="1" applyFont="1" applyFill="1" applyBorder="1" applyAlignment="1">
      <alignment horizontal="center"/>
    </xf>
    <xf numFmtId="165" fontId="20" fillId="0" borderId="0" xfId="1" applyNumberFormat="1" applyFont="1" applyFill="1" applyBorder="1" applyAlignment="1">
      <alignment horizontal="center"/>
    </xf>
    <xf numFmtId="43" fontId="1" fillId="3" borderId="0" xfId="1" applyNumberFormat="1" applyFill="1" applyBorder="1"/>
    <xf numFmtId="164" fontId="20" fillId="2" borderId="0" xfId="5" applyNumberFormat="1" applyFont="1" applyFill="1"/>
    <xf numFmtId="43" fontId="1" fillId="10" borderId="32" xfId="5" applyNumberFormat="1" applyFill="1" applyBorder="1"/>
    <xf numFmtId="49" fontId="20" fillId="2" borderId="0" xfId="0" applyNumberFormat="1" applyFont="1" applyFill="1" applyBorder="1" applyAlignment="1">
      <alignment horizontal="right"/>
    </xf>
    <xf numFmtId="187" fontId="20" fillId="2" borderId="0" xfId="1" applyNumberFormat="1" applyFont="1" applyFill="1" applyBorder="1"/>
    <xf numFmtId="49" fontId="20" fillId="2" borderId="0" xfId="0" applyNumberFormat="1" applyFont="1" applyFill="1" applyBorder="1" applyAlignment="1">
      <alignment horizontal="right" wrapText="1"/>
    </xf>
    <xf numFmtId="187" fontId="20" fillId="2" borderId="0" xfId="1" applyNumberFormat="1" applyFont="1" applyFill="1" applyAlignment="1">
      <alignment horizontal="right"/>
    </xf>
    <xf numFmtId="187" fontId="20" fillId="2" borderId="0" xfId="1" applyNumberFormat="1" applyFont="1" applyFill="1"/>
    <xf numFmtId="189" fontId="20" fillId="2" borderId="0" xfId="0" applyNumberFormat="1" applyFont="1" applyFill="1"/>
    <xf numFmtId="189" fontId="20" fillId="2" borderId="7" xfId="1" applyNumberFormat="1" applyFont="1" applyFill="1" applyBorder="1"/>
    <xf numFmtId="0" fontId="19" fillId="2" borderId="0" xfId="0" applyFont="1" applyFill="1" applyBorder="1"/>
    <xf numFmtId="10" fontId="19" fillId="2" borderId="0" xfId="0" applyNumberFormat="1" applyFont="1" applyFill="1" applyBorder="1" applyAlignment="1">
      <alignment horizontal="right"/>
    </xf>
    <xf numFmtId="10" fontId="20" fillId="2" borderId="4" xfId="0" applyNumberFormat="1" applyFont="1" applyFill="1" applyBorder="1" applyAlignment="1">
      <alignment horizontal="right"/>
    </xf>
    <xf numFmtId="0" fontId="0" fillId="0" borderId="0" xfId="0" applyFill="1" applyBorder="1" applyAlignment="1">
      <alignment vertical="top" wrapText="1"/>
    </xf>
    <xf numFmtId="0" fontId="26" fillId="2" borderId="0" xfId="0" applyFont="1" applyFill="1" applyBorder="1" applyAlignment="1">
      <alignment horizontal="right" vertical="top" wrapText="1"/>
    </xf>
    <xf numFmtId="0" fontId="32" fillId="2" borderId="11" xfId="0" applyFont="1" applyFill="1" applyBorder="1"/>
    <xf numFmtId="3" fontId="23" fillId="2" borderId="1" xfId="0" applyNumberFormat="1" applyFont="1" applyFill="1" applyBorder="1" applyAlignment="1"/>
    <xf numFmtId="0" fontId="23" fillId="2" borderId="1" xfId="0" applyFont="1" applyFill="1" applyBorder="1" applyAlignment="1">
      <alignment vertical="top"/>
    </xf>
    <xf numFmtId="187" fontId="19" fillId="2" borderId="0" xfId="0" applyNumberFormat="1" applyFont="1" applyFill="1" applyBorder="1" applyAlignment="1">
      <alignment horizontal="right" wrapText="1" indent="3"/>
    </xf>
    <xf numFmtId="0" fontId="20" fillId="2" borderId="1" xfId="0" applyFont="1" applyFill="1" applyBorder="1" applyAlignment="1">
      <alignment vertical="top"/>
    </xf>
    <xf numFmtId="187" fontId="23" fillId="2" borderId="0" xfId="0" applyNumberFormat="1" applyFont="1" applyFill="1" applyBorder="1" applyAlignment="1">
      <alignment horizontal="right"/>
    </xf>
    <xf numFmtId="187" fontId="20" fillId="2" borderId="0" xfId="0" applyNumberFormat="1" applyFont="1" applyFill="1" applyBorder="1"/>
    <xf numFmtId="0" fontId="19" fillId="2" borderId="1" xfId="0" applyFont="1" applyFill="1" applyBorder="1" applyAlignment="1">
      <alignment vertical="top"/>
    </xf>
    <xf numFmtId="187" fontId="20" fillId="2" borderId="0" xfId="1" applyNumberFormat="1" applyFont="1" applyFill="1" applyBorder="1" applyAlignment="1">
      <alignment horizontal="right" wrapText="1"/>
    </xf>
    <xf numFmtId="187" fontId="20" fillId="2" borderId="0" xfId="0" quotePrefix="1" applyNumberFormat="1" applyFont="1" applyFill="1" applyBorder="1" applyAlignment="1">
      <alignment horizontal="right"/>
    </xf>
    <xf numFmtId="43" fontId="20" fillId="2" borderId="0" xfId="1" applyFont="1" applyFill="1" applyBorder="1" applyAlignment="1">
      <alignment vertical="top" wrapText="1"/>
    </xf>
    <xf numFmtId="43" fontId="20" fillId="2" borderId="0" xfId="1" applyNumberFormat="1" applyFont="1" applyFill="1" applyBorder="1" applyAlignment="1">
      <alignment horizontal="right" vertical="top" wrapText="1"/>
    </xf>
    <xf numFmtId="0" fontId="24" fillId="2" borderId="1" xfId="0" applyFont="1" applyFill="1" applyBorder="1" applyAlignment="1">
      <alignment vertical="top"/>
    </xf>
    <xf numFmtId="43" fontId="20" fillId="2" borderId="0" xfId="0" applyNumberFormat="1" applyFont="1" applyFill="1" applyBorder="1" applyAlignment="1">
      <alignment vertical="top" wrapText="1"/>
    </xf>
    <xf numFmtId="10" fontId="23" fillId="2" borderId="1" xfId="0" applyNumberFormat="1" applyFont="1" applyFill="1" applyBorder="1" applyAlignment="1"/>
    <xf numFmtId="43" fontId="20" fillId="2" borderId="0" xfId="1" applyNumberFormat="1" applyFont="1" applyFill="1" applyBorder="1" applyAlignment="1">
      <alignment vertical="top" wrapText="1"/>
    </xf>
    <xf numFmtId="0" fontId="23" fillId="2" borderId="1" xfId="0" applyFont="1" applyFill="1" applyBorder="1" applyAlignment="1">
      <alignment horizontal="left" vertical="top" wrapText="1"/>
    </xf>
    <xf numFmtId="197" fontId="20" fillId="2" borderId="0" xfId="0" applyNumberFormat="1" applyFont="1" applyFill="1" applyBorder="1" applyAlignment="1">
      <alignment horizontal="left"/>
    </xf>
    <xf numFmtId="3" fontId="19" fillId="2" borderId="0" xfId="0" applyNumberFormat="1" applyFont="1" applyFill="1" applyAlignment="1">
      <alignment horizontal="center" wrapText="1"/>
    </xf>
    <xf numFmtId="165" fontId="38" fillId="2" borderId="2" xfId="1" applyNumberFormat="1" applyFont="1" applyFill="1" applyBorder="1" applyAlignment="1">
      <alignment horizontal="right"/>
    </xf>
    <xf numFmtId="194" fontId="20" fillId="2" borderId="0" xfId="0" applyNumberFormat="1" applyFont="1" applyFill="1" applyAlignment="1">
      <alignment horizontal="center"/>
    </xf>
    <xf numFmtId="196" fontId="20" fillId="2" borderId="0" xfId="0" applyNumberFormat="1" applyFont="1" applyFill="1" applyAlignment="1">
      <alignment horizontal="center"/>
    </xf>
    <xf numFmtId="195" fontId="20" fillId="2" borderId="0" xfId="0" applyNumberFormat="1" applyFont="1" applyFill="1" applyAlignment="1">
      <alignment horizontal="center"/>
    </xf>
    <xf numFmtId="192" fontId="20" fillId="2" borderId="0" xfId="0" applyNumberFormat="1" applyFont="1" applyFill="1" applyAlignment="1">
      <alignment horizontal="center"/>
    </xf>
    <xf numFmtId="186" fontId="20" fillId="2" borderId="0" xfId="0" applyNumberFormat="1" applyFont="1" applyFill="1" applyAlignment="1">
      <alignment horizontal="center"/>
    </xf>
    <xf numFmtId="3" fontId="19" fillId="2" borderId="0" xfId="0" applyNumberFormat="1" applyFont="1" applyFill="1" applyBorder="1" applyAlignment="1">
      <alignment horizontal="center" wrapText="1"/>
    </xf>
    <xf numFmtId="0" fontId="47" fillId="2" borderId="0" xfId="0" applyFont="1" applyFill="1" applyAlignment="1"/>
    <xf numFmtId="187" fontId="19" fillId="2" borderId="0" xfId="0" applyNumberFormat="1" applyFont="1" applyFill="1" applyAlignment="1">
      <alignment horizontal="right" wrapText="1"/>
    </xf>
    <xf numFmtId="187" fontId="21" fillId="2" borderId="0" xfId="0" applyNumberFormat="1" applyFont="1" applyFill="1" applyAlignment="1">
      <alignment horizontal="right" wrapText="1"/>
    </xf>
    <xf numFmtId="165" fontId="20" fillId="2" borderId="0" xfId="0" applyNumberFormat="1" applyFont="1" applyFill="1" applyAlignment="1">
      <alignment horizontal="right" wrapText="1"/>
    </xf>
    <xf numFmtId="189" fontId="20" fillId="2" borderId="0" xfId="0" applyNumberFormat="1" applyFont="1" applyFill="1" applyAlignment="1">
      <alignment horizontal="right" wrapText="1"/>
    </xf>
    <xf numFmtId="43" fontId="20" fillId="2" borderId="0" xfId="0" applyNumberFormat="1" applyFont="1" applyFill="1" applyAlignment="1">
      <alignment horizontal="right" wrapText="1"/>
    </xf>
    <xf numFmtId="43" fontId="20" fillId="2" borderId="0" xfId="0" applyNumberFormat="1" applyFont="1" applyFill="1" applyAlignment="1">
      <alignment horizontal="right"/>
    </xf>
    <xf numFmtId="15" fontId="1" fillId="3" borderId="0" xfId="5" applyNumberFormat="1" applyFill="1" applyBorder="1"/>
    <xf numFmtId="15" fontId="1" fillId="3" borderId="0" xfId="5" applyNumberFormat="1" applyFont="1" applyFill="1"/>
    <xf numFmtId="43" fontId="20" fillId="2" borderId="0" xfId="1" applyFont="1" applyFill="1" applyAlignment="1">
      <alignment horizontal="right"/>
    </xf>
    <xf numFmtId="187" fontId="19" fillId="2" borderId="10" xfId="0" applyNumberFormat="1" applyFont="1" applyFill="1" applyBorder="1" applyAlignment="1">
      <alignment horizontal="center" wrapText="1"/>
    </xf>
    <xf numFmtId="10" fontId="19" fillId="2" borderId="10" xfId="0" applyNumberFormat="1" applyFont="1" applyFill="1" applyBorder="1" applyAlignment="1">
      <alignment horizontal="center" wrapText="1"/>
    </xf>
    <xf numFmtId="3" fontId="23" fillId="2" borderId="1" xfId="0" applyNumberFormat="1" applyFont="1" applyFill="1" applyBorder="1" applyAlignment="1">
      <alignment wrapText="1"/>
    </xf>
    <xf numFmtId="187" fontId="19" fillId="2" borderId="0" xfId="0" applyNumberFormat="1" applyFont="1" applyFill="1" applyBorder="1" applyAlignment="1">
      <alignment horizontal="center" wrapText="1"/>
    </xf>
    <xf numFmtId="10" fontId="19" fillId="2" borderId="0" xfId="0" applyNumberFormat="1" applyFont="1" applyFill="1" applyBorder="1" applyAlignment="1">
      <alignment horizontal="center" wrapText="1"/>
    </xf>
    <xf numFmtId="0" fontId="20" fillId="2" borderId="1" xfId="5" applyFont="1" applyFill="1" applyBorder="1" applyAlignment="1"/>
    <xf numFmtId="196" fontId="20" fillId="2" borderId="0" xfId="0" applyNumberFormat="1" applyFont="1" applyFill="1" applyBorder="1" applyAlignment="1">
      <alignment horizontal="center"/>
    </xf>
    <xf numFmtId="194" fontId="20" fillId="2" borderId="0" xfId="0" applyNumberFormat="1" applyFont="1" applyFill="1" applyBorder="1" applyAlignment="1">
      <alignment horizontal="center"/>
    </xf>
    <xf numFmtId="195" fontId="20" fillId="2" borderId="0" xfId="0" applyNumberFormat="1" applyFont="1" applyFill="1" applyBorder="1" applyAlignment="1">
      <alignment horizontal="center"/>
    </xf>
    <xf numFmtId="190" fontId="36" fillId="2" borderId="0" xfId="0" applyNumberFormat="1" applyFont="1" applyFill="1" applyBorder="1" applyAlignment="1">
      <alignment horizontal="center"/>
    </xf>
    <xf numFmtId="208" fontId="20" fillId="2" borderId="0" xfId="0" applyNumberFormat="1" applyFont="1" applyFill="1" applyBorder="1" applyAlignment="1">
      <alignment horizontal="center"/>
    </xf>
    <xf numFmtId="207" fontId="20" fillId="2" borderId="0" xfId="0" applyNumberFormat="1" applyFont="1" applyFill="1" applyBorder="1" applyAlignment="1">
      <alignment horizontal="center"/>
    </xf>
    <xf numFmtId="194" fontId="20" fillId="2" borderId="0" xfId="0" applyNumberFormat="1" applyFont="1" applyFill="1" applyBorder="1"/>
    <xf numFmtId="192" fontId="20" fillId="2" borderId="0" xfId="0" applyNumberFormat="1" applyFont="1" applyFill="1" applyBorder="1" applyAlignment="1">
      <alignment horizontal="center"/>
    </xf>
    <xf numFmtId="209" fontId="20" fillId="2" borderId="0" xfId="0" applyNumberFormat="1" applyFont="1" applyFill="1" applyBorder="1" applyAlignment="1">
      <alignment horizontal="center"/>
    </xf>
    <xf numFmtId="210" fontId="20" fillId="2" borderId="0" xfId="0" applyNumberFormat="1" applyFont="1" applyFill="1" applyBorder="1" applyAlignment="1">
      <alignment horizontal="center"/>
    </xf>
    <xf numFmtId="168" fontId="20" fillId="2" borderId="0" xfId="7" applyNumberFormat="1" applyFont="1" applyFill="1" applyBorder="1" applyAlignment="1">
      <alignment horizontal="center"/>
    </xf>
    <xf numFmtId="2" fontId="39" fillId="2" borderId="0" xfId="0" applyNumberFormat="1" applyFont="1" applyFill="1" applyBorder="1" applyAlignment="1">
      <alignment horizontal="center"/>
    </xf>
    <xf numFmtId="191" fontId="20" fillId="2" borderId="0" xfId="0" applyNumberFormat="1" applyFont="1" applyFill="1" applyBorder="1" applyAlignment="1">
      <alignment horizontal="center"/>
    </xf>
    <xf numFmtId="186" fontId="20" fillId="2" borderId="0" xfId="0" applyNumberFormat="1" applyFont="1" applyFill="1" applyBorder="1" applyAlignment="1">
      <alignment horizontal="center"/>
    </xf>
    <xf numFmtId="186" fontId="20" fillId="2" borderId="0" xfId="0" applyNumberFormat="1" applyFont="1" applyFill="1" applyBorder="1" applyAlignment="1">
      <alignment horizontal="right"/>
    </xf>
    <xf numFmtId="186" fontId="20" fillId="2" borderId="0" xfId="0" applyNumberFormat="1" applyFont="1" applyFill="1" applyBorder="1"/>
    <xf numFmtId="165" fontId="38" fillId="2" borderId="0" xfId="1" applyNumberFormat="1" applyFont="1" applyFill="1" applyBorder="1" applyAlignment="1">
      <alignment horizontal="right"/>
    </xf>
    <xf numFmtId="186" fontId="20" fillId="2" borderId="2" xfId="0" applyNumberFormat="1" applyFont="1" applyFill="1" applyBorder="1" applyAlignment="1">
      <alignment horizontal="center"/>
    </xf>
    <xf numFmtId="196" fontId="19" fillId="2" borderId="0" xfId="0" applyNumberFormat="1" applyFont="1" applyFill="1" applyBorder="1" applyAlignment="1">
      <alignment horizontal="center"/>
    </xf>
    <xf numFmtId="194" fontId="19" fillId="2" borderId="0" xfId="0" applyNumberFormat="1" applyFont="1" applyFill="1" applyBorder="1" applyAlignment="1">
      <alignment horizontal="center"/>
    </xf>
    <xf numFmtId="208" fontId="19" fillId="2" borderId="0" xfId="0" applyNumberFormat="1" applyFont="1" applyFill="1" applyBorder="1" applyAlignment="1">
      <alignment horizontal="center"/>
    </xf>
    <xf numFmtId="3" fontId="19" fillId="2" borderId="2" xfId="0" applyNumberFormat="1" applyFont="1" applyFill="1" applyBorder="1" applyAlignment="1">
      <alignment horizontal="center" wrapText="1"/>
    </xf>
    <xf numFmtId="187" fontId="20" fillId="2" borderId="0" xfId="5" applyNumberFormat="1" applyFont="1" applyFill="1" applyBorder="1" applyAlignment="1">
      <alignment horizontal="right"/>
    </xf>
    <xf numFmtId="195" fontId="20" fillId="2" borderId="2" xfId="0" applyNumberFormat="1" applyFont="1" applyFill="1" applyBorder="1" applyAlignment="1">
      <alignment horizontal="center"/>
    </xf>
    <xf numFmtId="208" fontId="20" fillId="2" borderId="2" xfId="0" applyNumberFormat="1" applyFont="1" applyFill="1" applyBorder="1" applyAlignment="1">
      <alignment horizontal="center"/>
    </xf>
    <xf numFmtId="192" fontId="20" fillId="2" borderId="2" xfId="0" applyNumberFormat="1" applyFont="1" applyFill="1" applyBorder="1" applyAlignment="1">
      <alignment horizontal="center"/>
    </xf>
    <xf numFmtId="210" fontId="20" fillId="2" borderId="2" xfId="0" applyNumberFormat="1" applyFont="1" applyFill="1" applyBorder="1" applyAlignment="1">
      <alignment horizontal="center"/>
    </xf>
    <xf numFmtId="0" fontId="20" fillId="2" borderId="2" xfId="0" applyFont="1" applyFill="1" applyBorder="1" applyAlignment="1">
      <alignment horizontal="center" wrapText="1"/>
    </xf>
    <xf numFmtId="168" fontId="20" fillId="2" borderId="2" xfId="7" applyNumberFormat="1" applyFont="1" applyFill="1" applyBorder="1" applyAlignment="1">
      <alignment horizontal="center"/>
    </xf>
    <xf numFmtId="0" fontId="40" fillId="2" borderId="0" xfId="0" applyFont="1" applyFill="1" applyBorder="1" applyAlignment="1">
      <alignment horizontal="center" wrapText="1"/>
    </xf>
    <xf numFmtId="0" fontId="40" fillId="2" borderId="0" xfId="0" applyFont="1" applyFill="1" applyBorder="1" applyAlignment="1">
      <alignment horizontal="left" wrapText="1"/>
    </xf>
    <xf numFmtId="0" fontId="20" fillId="2" borderId="4" xfId="0" applyFont="1" applyFill="1" applyBorder="1" applyAlignment="1">
      <alignment horizontal="center"/>
    </xf>
    <xf numFmtId="195" fontId="20" fillId="2" borderId="5" xfId="0" applyNumberFormat="1" applyFont="1" applyFill="1" applyBorder="1" applyAlignment="1">
      <alignment horizontal="center"/>
    </xf>
    <xf numFmtId="10" fontId="20" fillId="2" borderId="0" xfId="0" applyNumberFormat="1" applyFont="1" applyFill="1" applyAlignment="1">
      <alignment horizontal="center" wrapText="1"/>
    </xf>
    <xf numFmtId="0" fontId="20" fillId="2" borderId="0" xfId="1" applyNumberFormat="1" applyFont="1" applyFill="1" applyBorder="1" applyAlignment="1">
      <alignment horizontal="center"/>
    </xf>
    <xf numFmtId="211" fontId="19" fillId="2" borderId="10" xfId="0" applyNumberFormat="1" applyFont="1" applyFill="1" applyBorder="1" applyAlignment="1">
      <alignment horizontal="center"/>
    </xf>
    <xf numFmtId="212" fontId="19" fillId="2" borderId="10" xfId="0" applyNumberFormat="1" applyFont="1" applyFill="1" applyBorder="1" applyAlignment="1">
      <alignment horizontal="center"/>
    </xf>
    <xf numFmtId="213" fontId="19" fillId="2" borderId="10" xfId="0" applyNumberFormat="1" applyFont="1" applyFill="1" applyBorder="1" applyAlignment="1">
      <alignment horizontal="center"/>
    </xf>
    <xf numFmtId="194" fontId="19" fillId="2" borderId="10" xfId="0" applyNumberFormat="1" applyFont="1" applyFill="1" applyBorder="1" applyAlignment="1">
      <alignment horizontal="center"/>
    </xf>
    <xf numFmtId="195" fontId="19" fillId="2" borderId="10" xfId="0" applyNumberFormat="1" applyFont="1" applyFill="1" applyBorder="1" applyAlignment="1">
      <alignment horizontal="center"/>
    </xf>
    <xf numFmtId="211" fontId="20" fillId="2" borderId="0" xfId="0" applyNumberFormat="1" applyFont="1" applyFill="1" applyBorder="1" applyAlignment="1">
      <alignment horizontal="center"/>
    </xf>
    <xf numFmtId="212" fontId="20" fillId="2" borderId="0" xfId="0" applyNumberFormat="1" applyFont="1" applyFill="1" applyBorder="1" applyAlignment="1">
      <alignment horizontal="center"/>
    </xf>
    <xf numFmtId="213" fontId="20" fillId="2" borderId="0" xfId="0" applyNumberFormat="1" applyFont="1" applyFill="1" applyBorder="1" applyAlignment="1">
      <alignment horizontal="center"/>
    </xf>
    <xf numFmtId="201" fontId="20" fillId="2" borderId="0" xfId="0" applyNumberFormat="1" applyFont="1" applyFill="1" applyBorder="1" applyAlignment="1">
      <alignment horizontal="center"/>
    </xf>
    <xf numFmtId="202" fontId="20" fillId="2" borderId="0" xfId="0" applyNumberFormat="1" applyFont="1" applyFill="1" applyBorder="1" applyAlignment="1">
      <alignment horizontal="center"/>
    </xf>
    <xf numFmtId="10" fontId="20" fillId="2" borderId="0" xfId="0" applyNumberFormat="1" applyFont="1" applyFill="1" applyBorder="1" applyAlignment="1">
      <alignment horizontal="center" wrapText="1"/>
    </xf>
    <xf numFmtId="204" fontId="20" fillId="2" borderId="0" xfId="0" applyNumberFormat="1" applyFont="1" applyFill="1" applyBorder="1" applyAlignment="1">
      <alignment horizontal="center"/>
    </xf>
    <xf numFmtId="195" fontId="23" fillId="2" borderId="0" xfId="0" applyNumberFormat="1" applyFont="1" applyFill="1" applyBorder="1" applyAlignment="1">
      <alignment horizontal="center"/>
    </xf>
    <xf numFmtId="194" fontId="23" fillId="2" borderId="0" xfId="0" applyNumberFormat="1" applyFont="1" applyFill="1" applyBorder="1" applyAlignment="1">
      <alignment horizontal="center"/>
    </xf>
    <xf numFmtId="213" fontId="23" fillId="2" borderId="0" xfId="0" applyNumberFormat="1" applyFont="1" applyFill="1" applyBorder="1" applyAlignment="1">
      <alignment horizontal="center"/>
    </xf>
    <xf numFmtId="204" fontId="20" fillId="2" borderId="2" xfId="0" applyNumberFormat="1" applyFont="1" applyFill="1" applyBorder="1" applyAlignment="1">
      <alignment horizontal="center"/>
    </xf>
    <xf numFmtId="203" fontId="20" fillId="2" borderId="0" xfId="0" applyNumberFormat="1" applyFont="1" applyFill="1" applyBorder="1" applyAlignment="1">
      <alignment horizontal="center"/>
    </xf>
    <xf numFmtId="191" fontId="20" fillId="2" borderId="2" xfId="0" applyNumberFormat="1" applyFont="1" applyFill="1" applyBorder="1" applyAlignment="1">
      <alignment horizontal="center"/>
    </xf>
    <xf numFmtId="10" fontId="20" fillId="2" borderId="4" xfId="0" applyNumberFormat="1" applyFont="1" applyFill="1" applyBorder="1" applyAlignment="1">
      <alignment horizontal="center" wrapText="1"/>
    </xf>
    <xf numFmtId="0" fontId="50" fillId="5" borderId="14" xfId="0" applyFont="1" applyFill="1" applyBorder="1" applyAlignment="1">
      <alignment horizontal="left"/>
    </xf>
    <xf numFmtId="188" fontId="50" fillId="5" borderId="14" xfId="0" applyNumberFormat="1" applyFont="1" applyFill="1" applyBorder="1" applyAlignment="1">
      <alignment horizontal="right"/>
    </xf>
    <xf numFmtId="186" fontId="50" fillId="5" borderId="14" xfId="0" applyNumberFormat="1" applyFont="1" applyFill="1" applyBorder="1"/>
    <xf numFmtId="0" fontId="27" fillId="5" borderId="1" xfId="0" applyFont="1" applyFill="1" applyBorder="1" applyAlignment="1">
      <alignment vertical="top"/>
    </xf>
    <xf numFmtId="189" fontId="56" fillId="5" borderId="0" xfId="0" applyNumberFormat="1" applyFont="1" applyFill="1" applyBorder="1" applyAlignment="1">
      <alignment horizontal="left"/>
    </xf>
    <xf numFmtId="10" fontId="56" fillId="5" borderId="0" xfId="0" applyNumberFormat="1" applyFont="1" applyFill="1" applyBorder="1" applyAlignment="1">
      <alignment vertical="top"/>
    </xf>
    <xf numFmtId="187" fontId="56" fillId="5" borderId="2" xfId="0" applyNumberFormat="1" applyFont="1" applyFill="1" applyBorder="1" applyAlignment="1">
      <alignment horizontal="right" vertical="top"/>
    </xf>
    <xf numFmtId="9" fontId="20" fillId="2" borderId="7" xfId="7" applyFont="1" applyFill="1" applyBorder="1" applyAlignment="1">
      <alignment horizontal="right"/>
    </xf>
    <xf numFmtId="187" fontId="20" fillId="2" borderId="12" xfId="0" applyNumberFormat="1" applyFont="1" applyFill="1" applyBorder="1" applyAlignment="1">
      <alignment horizontal="right"/>
    </xf>
    <xf numFmtId="189" fontId="20" fillId="2" borderId="12" xfId="0" applyNumberFormat="1" applyFont="1" applyFill="1" applyBorder="1" applyAlignment="1">
      <alignment horizontal="right"/>
    </xf>
    <xf numFmtId="189" fontId="20" fillId="2" borderId="0" xfId="1" applyNumberFormat="1" applyFont="1" applyFill="1" applyAlignment="1">
      <alignment horizontal="right"/>
    </xf>
    <xf numFmtId="189" fontId="20" fillId="2" borderId="0" xfId="1" applyNumberFormat="1" applyFont="1" applyFill="1" applyBorder="1" applyAlignment="1">
      <alignment horizontal="right"/>
    </xf>
    <xf numFmtId="43" fontId="20" fillId="2" borderId="0" xfId="0" applyNumberFormat="1" applyFont="1" applyFill="1" applyBorder="1" applyAlignment="1">
      <alignment horizontal="right" wrapText="1"/>
    </xf>
    <xf numFmtId="187" fontId="20" fillId="2" borderId="7" xfId="1" applyNumberFormat="1" applyFont="1" applyFill="1" applyBorder="1" applyAlignment="1">
      <alignment horizontal="right"/>
    </xf>
    <xf numFmtId="0" fontId="5" fillId="2" borderId="0" xfId="0" applyFont="1" applyFill="1" applyBorder="1" applyAlignment="1">
      <alignment horizontal="center"/>
    </xf>
    <xf numFmtId="181" fontId="5" fillId="2" borderId="0" xfId="0" applyNumberFormat="1" applyFont="1" applyFill="1" applyBorder="1" applyAlignment="1">
      <alignment horizontal="right"/>
    </xf>
    <xf numFmtId="10" fontId="20" fillId="2" borderId="38" xfId="7" applyNumberFormat="1" applyFont="1" applyFill="1" applyBorder="1" applyAlignment="1">
      <alignment horizontal="center"/>
    </xf>
    <xf numFmtId="194" fontId="20" fillId="2" borderId="2" xfId="0" applyNumberFormat="1" applyFont="1" applyFill="1" applyBorder="1"/>
    <xf numFmtId="189" fontId="20" fillId="2" borderId="0" xfId="1" applyNumberFormat="1" applyFont="1" applyFill="1" applyBorder="1"/>
    <xf numFmtId="0" fontId="25" fillId="2" borderId="0" xfId="0" applyFont="1" applyFill="1" applyBorder="1" applyAlignment="1">
      <alignment wrapText="1"/>
    </xf>
    <xf numFmtId="0" fontId="25" fillId="2" borderId="0" xfId="0" applyFont="1" applyFill="1" applyAlignment="1">
      <alignment horizontal="left" wrapText="1"/>
    </xf>
    <xf numFmtId="10" fontId="32" fillId="2" borderId="0" xfId="0" applyNumberFormat="1" applyFont="1" applyFill="1" applyAlignment="1">
      <alignment vertical="top"/>
    </xf>
    <xf numFmtId="10" fontId="32" fillId="2" borderId="0" xfId="0" applyNumberFormat="1" applyFont="1" applyFill="1"/>
    <xf numFmtId="0" fontId="0" fillId="2" borderId="43" xfId="0" applyFill="1" applyBorder="1"/>
    <xf numFmtId="0" fontId="0" fillId="2" borderId="32" xfId="0" applyFill="1" applyBorder="1"/>
    <xf numFmtId="0" fontId="0" fillId="2" borderId="35" xfId="0" applyFill="1" applyBorder="1"/>
    <xf numFmtId="0" fontId="5" fillId="6" borderId="44" xfId="0" applyFont="1" applyFill="1" applyBorder="1"/>
    <xf numFmtId="0" fontId="20" fillId="2" borderId="0" xfId="0" applyNumberFormat="1" applyFont="1" applyFill="1"/>
    <xf numFmtId="0" fontId="24" fillId="2" borderId="0" xfId="0" applyFont="1" applyFill="1" applyBorder="1" applyAlignment="1"/>
    <xf numFmtId="2" fontId="20" fillId="2" borderId="0" xfId="0" applyNumberFormat="1" applyFont="1" applyFill="1" applyBorder="1"/>
    <xf numFmtId="3" fontId="23" fillId="2" borderId="0" xfId="0" applyNumberFormat="1" applyFont="1" applyFill="1" applyBorder="1" applyAlignment="1">
      <alignment horizontal="left" wrapText="1"/>
    </xf>
    <xf numFmtId="0" fontId="5" fillId="2" borderId="0" xfId="0" applyFont="1" applyFill="1" applyAlignment="1">
      <alignment horizontal="right"/>
    </xf>
    <xf numFmtId="49" fontId="0" fillId="2" borderId="0" xfId="0" applyNumberFormat="1" applyFill="1" applyAlignment="1">
      <alignment horizontal="right"/>
    </xf>
    <xf numFmtId="0" fontId="0" fillId="2" borderId="0" xfId="0" applyNumberFormat="1" applyFill="1"/>
    <xf numFmtId="0" fontId="20" fillId="2" borderId="0" xfId="0" applyNumberFormat="1" applyFont="1" applyFill="1" applyBorder="1" applyAlignment="1">
      <alignment horizontal="right"/>
    </xf>
    <xf numFmtId="49" fontId="0" fillId="2" borderId="0" xfId="0" applyNumberFormat="1" applyFill="1" applyBorder="1" applyAlignment="1">
      <alignment horizontal="right"/>
    </xf>
    <xf numFmtId="0" fontId="23" fillId="2" borderId="0" xfId="0" applyNumberFormat="1" applyFont="1" applyFill="1"/>
    <xf numFmtId="181" fontId="0" fillId="2" borderId="26" xfId="0" applyNumberFormat="1" applyFill="1" applyBorder="1"/>
    <xf numFmtId="3" fontId="23" fillId="2" borderId="1" xfId="0" applyNumberFormat="1" applyFont="1" applyFill="1" applyBorder="1" applyAlignment="1">
      <alignment horizontal="left" wrapText="1"/>
    </xf>
    <xf numFmtId="0" fontId="32" fillId="2" borderId="2" xfId="0" applyFont="1" applyFill="1" applyBorder="1"/>
    <xf numFmtId="43" fontId="20" fillId="2" borderId="2" xfId="0" applyNumberFormat="1" applyFont="1" applyFill="1" applyBorder="1"/>
    <xf numFmtId="165" fontId="1" fillId="10" borderId="13" xfId="5" applyNumberFormat="1" applyFill="1" applyBorder="1"/>
    <xf numFmtId="0" fontId="55" fillId="5" borderId="0" xfId="0" applyFont="1" applyFill="1" applyBorder="1" applyAlignment="1"/>
    <xf numFmtId="187" fontId="20" fillId="5" borderId="0" xfId="0" applyNumberFormat="1" applyFont="1" applyFill="1" applyBorder="1" applyAlignment="1">
      <alignment horizontal="right"/>
    </xf>
    <xf numFmtId="2" fontId="20" fillId="5" borderId="0" xfId="0" applyNumberFormat="1" applyFont="1" applyFill="1" applyBorder="1"/>
    <xf numFmtId="10" fontId="20" fillId="5" borderId="0" xfId="0" applyNumberFormat="1" applyFont="1" applyFill="1" applyBorder="1"/>
    <xf numFmtId="0" fontId="20" fillId="5" borderId="0" xfId="0" applyFont="1" applyFill="1" applyBorder="1"/>
    <xf numFmtId="0" fontId="56" fillId="5" borderId="0" xfId="0" applyFont="1" applyFill="1" applyBorder="1" applyAlignment="1"/>
    <xf numFmtId="189" fontId="4" fillId="2" borderId="8" xfId="1" applyNumberFormat="1" applyFont="1" applyFill="1" applyBorder="1" applyAlignment="1">
      <alignment horizontal="center"/>
    </xf>
    <xf numFmtId="7" fontId="4" fillId="2" borderId="8" xfId="0" applyNumberFormat="1" applyFont="1" applyFill="1" applyBorder="1" applyAlignment="1">
      <alignment horizontal="center"/>
    </xf>
    <xf numFmtId="0" fontId="20" fillId="5" borderId="1" xfId="0" applyFont="1" applyFill="1" applyBorder="1" applyAlignment="1">
      <alignment vertical="top"/>
    </xf>
    <xf numFmtId="3" fontId="23" fillId="5" borderId="0" xfId="0" applyNumberFormat="1" applyFont="1" applyFill="1" applyBorder="1" applyAlignment="1">
      <alignment horizontal="left" wrapText="1"/>
    </xf>
    <xf numFmtId="0" fontId="20" fillId="5" borderId="2" xfId="0" applyFont="1" applyFill="1" applyBorder="1" applyAlignment="1">
      <alignment horizontal="center"/>
    </xf>
    <xf numFmtId="3" fontId="54" fillId="5" borderId="9" xfId="0" applyNumberFormat="1" applyFont="1" applyFill="1" applyBorder="1" applyAlignment="1">
      <alignment wrapText="1"/>
    </xf>
    <xf numFmtId="187" fontId="20" fillId="5" borderId="10" xfId="0" applyNumberFormat="1" applyFont="1" applyFill="1" applyBorder="1" applyAlignment="1">
      <alignment horizontal="right"/>
    </xf>
    <xf numFmtId="10" fontId="20" fillId="5" borderId="10" xfId="0" applyNumberFormat="1" applyFont="1" applyFill="1" applyBorder="1" applyAlignment="1">
      <alignment horizontal="center" wrapText="1"/>
    </xf>
    <xf numFmtId="3" fontId="19" fillId="5" borderId="10" xfId="0" applyNumberFormat="1" applyFont="1" applyFill="1" applyBorder="1" applyAlignment="1">
      <alignment horizontal="center" wrapText="1"/>
    </xf>
    <xf numFmtId="195" fontId="19" fillId="5" borderId="10" xfId="0" applyNumberFormat="1" applyFont="1" applyFill="1" applyBorder="1" applyAlignment="1">
      <alignment horizontal="center"/>
    </xf>
    <xf numFmtId="0" fontId="20" fillId="5" borderId="10" xfId="0" applyFont="1" applyFill="1" applyBorder="1"/>
    <xf numFmtId="0" fontId="20" fillId="5" borderId="11" xfId="0" applyFont="1" applyFill="1" applyBorder="1"/>
    <xf numFmtId="0" fontId="20" fillId="5" borderId="1" xfId="5" applyFont="1" applyFill="1" applyBorder="1" applyAlignment="1"/>
    <xf numFmtId="10" fontId="20" fillId="5" borderId="0" xfId="0" applyNumberFormat="1" applyFont="1" applyFill="1" applyBorder="1" applyAlignment="1">
      <alignment horizontal="center"/>
    </xf>
    <xf numFmtId="195" fontId="20" fillId="5" borderId="0" xfId="0" applyNumberFormat="1" applyFont="1" applyFill="1" applyBorder="1" applyAlignment="1">
      <alignment horizontal="center"/>
    </xf>
    <xf numFmtId="0" fontId="20" fillId="5" borderId="2" xfId="0" applyFont="1" applyFill="1" applyBorder="1"/>
    <xf numFmtId="187" fontId="20" fillId="5" borderId="0" xfId="5" applyNumberFormat="1" applyFont="1" applyFill="1" applyBorder="1" applyAlignment="1">
      <alignment horizontal="right"/>
    </xf>
    <xf numFmtId="196" fontId="20" fillId="5" borderId="0" xfId="0" applyNumberFormat="1" applyFont="1" applyFill="1" applyBorder="1" applyAlignment="1">
      <alignment horizontal="center"/>
    </xf>
    <xf numFmtId="0" fontId="20" fillId="5" borderId="0" xfId="0" applyFont="1" applyFill="1" applyBorder="1" applyAlignment="1">
      <alignment horizontal="center"/>
    </xf>
    <xf numFmtId="203" fontId="20" fillId="5" borderId="0" xfId="0" applyNumberFormat="1" applyFont="1" applyFill="1" applyBorder="1" applyAlignment="1">
      <alignment horizontal="center"/>
    </xf>
    <xf numFmtId="187" fontId="20" fillId="5" borderId="0" xfId="0" applyNumberFormat="1" applyFont="1" applyFill="1" applyBorder="1" applyAlignment="1">
      <alignment horizontal="center"/>
    </xf>
    <xf numFmtId="189" fontId="20" fillId="5" borderId="0" xfId="0" applyNumberFormat="1" applyFont="1" applyFill="1" applyBorder="1" applyAlignment="1">
      <alignment horizontal="center"/>
    </xf>
    <xf numFmtId="0" fontId="20" fillId="5" borderId="1" xfId="5" applyFont="1" applyFill="1" applyBorder="1" applyAlignment="1">
      <alignment horizontal="left"/>
    </xf>
    <xf numFmtId="0" fontId="20" fillId="5" borderId="0" xfId="5" applyFont="1" applyFill="1" applyBorder="1" applyAlignment="1">
      <alignment horizontal="left"/>
    </xf>
    <xf numFmtId="168" fontId="20" fillId="5" borderId="0" xfId="7" applyNumberFormat="1" applyFont="1" applyFill="1" applyBorder="1" applyAlignment="1">
      <alignment horizontal="center"/>
    </xf>
    <xf numFmtId="10" fontId="20" fillId="5" borderId="0" xfId="7" applyNumberFormat="1" applyFont="1" applyFill="1" applyBorder="1" applyAlignment="1">
      <alignment horizontal="center"/>
    </xf>
    <xf numFmtId="195" fontId="20" fillId="5" borderId="0" xfId="1" applyNumberFormat="1" applyFont="1" applyFill="1" applyBorder="1" applyAlignment="1">
      <alignment horizontal="center"/>
    </xf>
    <xf numFmtId="0" fontId="20" fillId="5" borderId="1" xfId="0" applyFont="1" applyFill="1" applyBorder="1" applyAlignment="1"/>
    <xf numFmtId="14" fontId="20" fillId="5" borderId="0" xfId="0" applyNumberFormat="1" applyFont="1" applyFill="1" applyBorder="1" applyAlignment="1">
      <alignment horizontal="center"/>
    </xf>
    <xf numFmtId="0" fontId="20" fillId="5" borderId="3" xfId="5" applyFont="1" applyFill="1" applyBorder="1" applyAlignment="1"/>
    <xf numFmtId="187" fontId="20" fillId="5" borderId="4" xfId="0" applyNumberFormat="1" applyFont="1" applyFill="1" applyBorder="1" applyAlignment="1">
      <alignment horizontal="right"/>
    </xf>
    <xf numFmtId="10" fontId="20" fillId="5" borderId="4" xfId="0" applyNumberFormat="1" applyFont="1" applyFill="1" applyBorder="1"/>
    <xf numFmtId="14" fontId="20" fillId="5" borderId="4" xfId="0" applyNumberFormat="1" applyFont="1" applyFill="1" applyBorder="1" applyAlignment="1">
      <alignment horizontal="center"/>
    </xf>
    <xf numFmtId="0" fontId="20" fillId="5" borderId="4" xfId="0" applyFont="1" applyFill="1" applyBorder="1"/>
    <xf numFmtId="0" fontId="20" fillId="5" borderId="5" xfId="0" applyFont="1" applyFill="1" applyBorder="1"/>
    <xf numFmtId="3" fontId="19" fillId="2" borderId="0" xfId="0" applyNumberFormat="1" applyFont="1" applyFill="1" applyBorder="1" applyAlignment="1"/>
    <xf numFmtId="189" fontId="20" fillId="2" borderId="0" xfId="1" applyNumberFormat="1" applyFont="1" applyFill="1"/>
    <xf numFmtId="165" fontId="1" fillId="10" borderId="0" xfId="1" applyNumberFormat="1" applyFill="1"/>
    <xf numFmtId="181" fontId="20" fillId="12" borderId="0" xfId="1" applyNumberFormat="1" applyFont="1" applyFill="1" applyBorder="1"/>
    <xf numFmtId="199" fontId="20" fillId="12" borderId="0" xfId="0" applyNumberFormat="1" applyFont="1" applyFill="1" applyBorder="1"/>
    <xf numFmtId="43" fontId="20" fillId="12" borderId="0" xfId="0" applyNumberFormat="1" applyFont="1" applyFill="1" applyBorder="1"/>
    <xf numFmtId="181" fontId="20" fillId="12" borderId="0" xfId="0" applyNumberFormat="1" applyFont="1" applyFill="1" applyBorder="1"/>
    <xf numFmtId="168" fontId="20" fillId="12" borderId="0" xfId="0" applyNumberFormat="1" applyFont="1" applyFill="1" applyBorder="1"/>
    <xf numFmtId="43" fontId="20" fillId="12" borderId="0" xfId="1" applyFont="1" applyFill="1" applyBorder="1"/>
    <xf numFmtId="171" fontId="20" fillId="12" borderId="0" xfId="0" applyNumberFormat="1" applyFont="1" applyFill="1" applyBorder="1"/>
    <xf numFmtId="10" fontId="20" fillId="12" borderId="0" xfId="7" applyNumberFormat="1" applyFont="1" applyFill="1" applyBorder="1" applyAlignment="1">
      <alignment horizontal="right"/>
    </xf>
    <xf numFmtId="187" fontId="20" fillId="12" borderId="0" xfId="0" applyNumberFormat="1" applyFont="1" applyFill="1" applyBorder="1"/>
    <xf numFmtId="187" fontId="20" fillId="12" borderId="7" xfId="0" applyNumberFormat="1" applyFont="1" applyFill="1" applyBorder="1" applyAlignment="1">
      <alignment horizontal="right"/>
    </xf>
    <xf numFmtId="0" fontId="20" fillId="12" borderId="0" xfId="0" applyFont="1" applyFill="1" applyBorder="1"/>
    <xf numFmtId="187" fontId="19" fillId="12" borderId="0" xfId="0" applyNumberFormat="1" applyFont="1" applyFill="1" applyBorder="1" applyAlignment="1">
      <alignment horizontal="right" wrapText="1" indent="3"/>
    </xf>
    <xf numFmtId="43" fontId="20" fillId="12" borderId="0" xfId="0" applyNumberFormat="1" applyFont="1" applyFill="1" applyAlignment="1">
      <alignment horizontal="right"/>
    </xf>
    <xf numFmtId="43" fontId="20" fillId="12" borderId="0" xfId="0" applyNumberFormat="1" applyFont="1" applyFill="1" applyAlignment="1">
      <alignment horizontal="right" wrapText="1"/>
    </xf>
    <xf numFmtId="0" fontId="20" fillId="2" borderId="10" xfId="0" applyFont="1" applyFill="1" applyBorder="1" applyAlignment="1">
      <alignment vertical="top" wrapText="1"/>
    </xf>
    <xf numFmtId="165" fontId="1" fillId="3" borderId="0" xfId="1" applyNumberFormat="1" applyFill="1"/>
    <xf numFmtId="0" fontId="1" fillId="3" borderId="0" xfId="5" applyFill="1"/>
    <xf numFmtId="3" fontId="19" fillId="2" borderId="11" xfId="0" applyNumberFormat="1" applyFont="1" applyFill="1" applyBorder="1" applyAlignment="1">
      <alignment horizontal="center" wrapText="1"/>
    </xf>
    <xf numFmtId="0" fontId="41" fillId="2" borderId="0" xfId="0" applyFont="1" applyFill="1" applyBorder="1" applyAlignment="1">
      <alignment horizontal="center"/>
    </xf>
    <xf numFmtId="43" fontId="20" fillId="4" borderId="0" xfId="1" applyNumberFormat="1" applyFont="1" applyFill="1"/>
    <xf numFmtId="43" fontId="20" fillId="4" borderId="0" xfId="5" applyNumberFormat="1" applyFont="1" applyFill="1"/>
    <xf numFmtId="186" fontId="50" fillId="0" borderId="0" xfId="0" applyNumberFormat="1" applyFont="1" applyFill="1" applyBorder="1" applyAlignment="1">
      <alignment horizontal="left"/>
    </xf>
    <xf numFmtId="186" fontId="50" fillId="2" borderId="0" xfId="0" applyNumberFormat="1" applyFont="1" applyFill="1" applyBorder="1" applyAlignment="1">
      <alignment horizontal="left"/>
    </xf>
    <xf numFmtId="187" fontId="56" fillId="2" borderId="10" xfId="0" applyNumberFormat="1" applyFont="1" applyFill="1" applyBorder="1" applyAlignment="1">
      <alignment horizontal="center"/>
    </xf>
    <xf numFmtId="10" fontId="32" fillId="2" borderId="0" xfId="0" applyNumberFormat="1" applyFont="1" applyFill="1" applyBorder="1"/>
    <xf numFmtId="165" fontId="0" fillId="2" borderId="0" xfId="0" applyNumberFormat="1" applyFill="1"/>
    <xf numFmtId="0" fontId="20" fillId="2" borderId="9" xfId="0" applyFont="1" applyFill="1" applyBorder="1"/>
    <xf numFmtId="0" fontId="20" fillId="2" borderId="9" xfId="0" applyFont="1" applyFill="1" applyBorder="1" applyAlignment="1"/>
    <xf numFmtId="187" fontId="20" fillId="2" borderId="9" xfId="0" applyNumberFormat="1" applyFont="1" applyFill="1" applyBorder="1" applyAlignment="1">
      <alignment horizontal="right"/>
    </xf>
    <xf numFmtId="0" fontId="20" fillId="2" borderId="38" xfId="0" applyFont="1" applyFill="1" applyBorder="1"/>
    <xf numFmtId="0" fontId="23" fillId="2" borderId="10" xfId="0" applyFont="1" applyFill="1" applyBorder="1" applyAlignment="1">
      <alignment horizontal="center"/>
    </xf>
    <xf numFmtId="3" fontId="19" fillId="2" borderId="38" xfId="0" applyNumberFormat="1" applyFont="1" applyFill="1" applyBorder="1" applyAlignment="1"/>
    <xf numFmtId="3" fontId="19" fillId="2" borderId="9" xfId="0" applyNumberFormat="1" applyFont="1" applyFill="1" applyBorder="1" applyAlignment="1"/>
    <xf numFmtId="3" fontId="19" fillId="2" borderId="28" xfId="0" applyNumberFormat="1" applyFont="1" applyFill="1" applyBorder="1" applyAlignment="1"/>
    <xf numFmtId="3" fontId="20" fillId="2" borderId="38" xfId="0" applyNumberFormat="1" applyFont="1" applyFill="1" applyBorder="1" applyAlignment="1"/>
    <xf numFmtId="187" fontId="20" fillId="2" borderId="1" xfId="0" applyNumberFormat="1" applyFont="1" applyFill="1" applyBorder="1" applyAlignment="1">
      <alignment horizontal="left" vertical="top"/>
    </xf>
    <xf numFmtId="10" fontId="20" fillId="2" borderId="0" xfId="0" applyNumberFormat="1" applyFont="1" applyFill="1" applyBorder="1" applyAlignment="1">
      <alignment horizontal="center" vertical="top" wrapText="1"/>
    </xf>
    <xf numFmtId="187" fontId="20" fillId="2" borderId="0" xfId="0" applyNumberFormat="1" applyFont="1" applyFill="1" applyBorder="1" applyAlignment="1">
      <alignment horizontal="center" vertical="top"/>
    </xf>
    <xf numFmtId="10" fontId="20" fillId="2" borderId="0" xfId="0" applyNumberFormat="1" applyFont="1" applyFill="1" applyBorder="1" applyAlignment="1">
      <alignment horizontal="center" vertical="top"/>
    </xf>
    <xf numFmtId="0" fontId="20" fillId="2" borderId="38" xfId="0" applyFont="1" applyFill="1" applyBorder="1" applyAlignment="1">
      <alignment vertical="top"/>
    </xf>
    <xf numFmtId="187" fontId="20" fillId="2" borderId="3" xfId="0" applyNumberFormat="1" applyFont="1" applyFill="1" applyBorder="1" applyAlignment="1">
      <alignment horizontal="left" vertical="top"/>
    </xf>
    <xf numFmtId="10" fontId="20" fillId="2" borderId="4" xfId="0" applyNumberFormat="1" applyFont="1" applyFill="1" applyBorder="1" applyAlignment="1">
      <alignment horizontal="center" vertical="top" wrapText="1"/>
    </xf>
    <xf numFmtId="187" fontId="20" fillId="2" borderId="4" xfId="0" applyNumberFormat="1" applyFont="1" applyFill="1" applyBorder="1" applyAlignment="1">
      <alignment horizontal="center" vertical="top"/>
    </xf>
    <xf numFmtId="10" fontId="20" fillId="2" borderId="4" xfId="0" applyNumberFormat="1" applyFont="1" applyFill="1" applyBorder="1" applyAlignment="1">
      <alignment horizontal="center" vertical="top"/>
    </xf>
    <xf numFmtId="187" fontId="20" fillId="2" borderId="9" xfId="0" applyNumberFormat="1" applyFont="1" applyFill="1" applyBorder="1" applyAlignment="1">
      <alignment horizontal="left" vertical="top"/>
    </xf>
    <xf numFmtId="10" fontId="20" fillId="2" borderId="10" xfId="0" applyNumberFormat="1" applyFont="1" applyFill="1" applyBorder="1" applyAlignment="1">
      <alignment horizontal="center" vertical="top" wrapText="1"/>
    </xf>
    <xf numFmtId="187" fontId="20" fillId="2" borderId="10" xfId="0" applyNumberFormat="1" applyFont="1" applyFill="1" applyBorder="1" applyAlignment="1">
      <alignment horizontal="center" vertical="top"/>
    </xf>
    <xf numFmtId="10" fontId="20" fillId="2" borderId="11" xfId="0" applyNumberFormat="1" applyFont="1" applyFill="1" applyBorder="1" applyAlignment="1">
      <alignment horizontal="center" vertical="top"/>
    </xf>
    <xf numFmtId="10" fontId="20" fillId="2" borderId="2" xfId="0" applyNumberFormat="1" applyFont="1" applyFill="1" applyBorder="1" applyAlignment="1">
      <alignment horizontal="center" vertical="top" wrapText="1"/>
    </xf>
    <xf numFmtId="10" fontId="20" fillId="2" borderId="2" xfId="0" applyNumberFormat="1" applyFont="1" applyFill="1" applyBorder="1" applyAlignment="1">
      <alignment horizontal="center" vertical="top"/>
    </xf>
    <xf numFmtId="10" fontId="20" fillId="2" borderId="5" xfId="0" applyNumberFormat="1" applyFont="1" applyFill="1" applyBorder="1" applyAlignment="1">
      <alignment horizontal="center" vertical="top"/>
    </xf>
    <xf numFmtId="3" fontId="20" fillId="2" borderId="3" xfId="0" applyNumberFormat="1" applyFont="1" applyFill="1" applyBorder="1" applyAlignment="1">
      <alignment vertical="top"/>
    </xf>
    <xf numFmtId="10" fontId="20" fillId="2" borderId="4" xfId="0" applyNumberFormat="1" applyFont="1" applyFill="1" applyBorder="1" applyAlignment="1">
      <alignment vertical="top"/>
    </xf>
    <xf numFmtId="3" fontId="20" fillId="2" borderId="9" xfId="0" applyNumberFormat="1" applyFont="1" applyFill="1" applyBorder="1" applyAlignment="1">
      <alignment vertical="top"/>
    </xf>
    <xf numFmtId="10" fontId="20" fillId="2" borderId="10" xfId="0" applyNumberFormat="1" applyFont="1" applyFill="1" applyBorder="1" applyAlignment="1">
      <alignment vertical="top"/>
    </xf>
    <xf numFmtId="187" fontId="20" fillId="2" borderId="9" xfId="0" applyNumberFormat="1" applyFont="1" applyFill="1" applyBorder="1" applyAlignment="1">
      <alignment horizontal="left" vertical="top" wrapText="1"/>
    </xf>
    <xf numFmtId="3" fontId="20" fillId="2" borderId="15" xfId="0" applyNumberFormat="1" applyFont="1" applyFill="1" applyBorder="1" applyAlignment="1"/>
    <xf numFmtId="0" fontId="20" fillId="2" borderId="28" xfId="0" applyFont="1" applyFill="1" applyBorder="1" applyAlignment="1">
      <alignment horizontal="center"/>
    </xf>
    <xf numFmtId="0" fontId="20" fillId="2" borderId="38" xfId="0" applyFont="1" applyFill="1" applyBorder="1" applyAlignment="1">
      <alignment horizontal="center" vertical="top"/>
    </xf>
    <xf numFmtId="0" fontId="20" fillId="2" borderId="15" xfId="0" applyFont="1" applyFill="1" applyBorder="1" applyAlignment="1">
      <alignment horizontal="center" vertical="top"/>
    </xf>
    <xf numFmtId="0" fontId="20" fillId="2" borderId="5" xfId="0" applyFont="1" applyFill="1" applyBorder="1" applyAlignment="1">
      <alignment horizontal="center" vertical="top"/>
    </xf>
    <xf numFmtId="0" fontId="20" fillId="2" borderId="11" xfId="0" applyFont="1" applyFill="1" applyBorder="1" applyAlignment="1">
      <alignment horizontal="center" vertical="top"/>
    </xf>
    <xf numFmtId="0" fontId="20" fillId="2" borderId="28" xfId="0" applyFont="1" applyFill="1" applyBorder="1" applyAlignment="1">
      <alignment horizontal="center" vertical="top"/>
    </xf>
    <xf numFmtId="0" fontId="20" fillId="2" borderId="15" xfId="0" applyFont="1" applyFill="1" applyBorder="1" applyAlignment="1">
      <alignment horizontal="center"/>
    </xf>
    <xf numFmtId="0" fontId="23" fillId="0" borderId="14" xfId="0" applyFont="1" applyBorder="1" applyAlignment="1">
      <alignment horizontal="left" vertical="top" wrapText="1"/>
    </xf>
    <xf numFmtId="0" fontId="20" fillId="2" borderId="38" xfId="0" applyFont="1" applyFill="1" applyBorder="1" applyAlignment="1">
      <alignment horizontal="left" vertical="top" wrapText="1"/>
    </xf>
    <xf numFmtId="0" fontId="20" fillId="2" borderId="15" xfId="0" applyFont="1" applyFill="1" applyBorder="1" applyAlignment="1">
      <alignment horizontal="left" vertical="top" wrapText="1"/>
    </xf>
    <xf numFmtId="0" fontId="23" fillId="0" borderId="14" xfId="0" applyFont="1" applyBorder="1" applyAlignment="1">
      <alignment horizontal="center" vertical="top" wrapText="1"/>
    </xf>
    <xf numFmtId="0" fontId="20" fillId="2" borderId="14" xfId="0" applyFont="1" applyFill="1" applyBorder="1" applyAlignment="1">
      <alignment horizontal="center" vertical="top"/>
    </xf>
    <xf numFmtId="218" fontId="56" fillId="2" borderId="0" xfId="0" applyNumberFormat="1" applyFont="1" applyFill="1" applyBorder="1" applyAlignment="1">
      <alignment horizontal="center"/>
    </xf>
    <xf numFmtId="181" fontId="56" fillId="2" borderId="0" xfId="0" applyNumberFormat="1" applyFont="1" applyFill="1" applyBorder="1" applyAlignment="1">
      <alignment horizontal="center"/>
    </xf>
    <xf numFmtId="181" fontId="56" fillId="14" borderId="0" xfId="0" applyNumberFormat="1" applyFont="1" applyFill="1" applyBorder="1" applyAlignment="1">
      <alignment horizontal="center"/>
    </xf>
    <xf numFmtId="185" fontId="56" fillId="2" borderId="0" xfId="0" applyNumberFormat="1" applyFont="1" applyFill="1" applyBorder="1" applyAlignment="1">
      <alignment horizontal="center"/>
    </xf>
    <xf numFmtId="0" fontId="5" fillId="0" borderId="0" xfId="0" applyFont="1" applyBorder="1" applyAlignment="1">
      <alignment horizontal="right"/>
    </xf>
    <xf numFmtId="0" fontId="20" fillId="2" borderId="1" xfId="0" applyFont="1" applyFill="1" applyBorder="1" applyAlignment="1">
      <alignment horizontal="left"/>
    </xf>
    <xf numFmtId="0" fontId="20" fillId="2" borderId="10" xfId="0" applyFont="1" applyFill="1" applyBorder="1" applyAlignment="1">
      <alignment vertical="top"/>
    </xf>
    <xf numFmtId="0" fontId="20" fillId="2" borderId="11" xfId="0" applyFont="1" applyFill="1" applyBorder="1" applyAlignment="1">
      <alignment vertical="top"/>
    </xf>
    <xf numFmtId="0" fontId="20" fillId="2" borderId="11" xfId="0" applyFont="1" applyFill="1" applyBorder="1" applyAlignment="1">
      <alignment vertical="top" wrapText="1"/>
    </xf>
    <xf numFmtId="165" fontId="20" fillId="2" borderId="0" xfId="0" applyNumberFormat="1" applyFont="1" applyFill="1" applyBorder="1"/>
    <xf numFmtId="0" fontId="20" fillId="2" borderId="9" xfId="0" applyFont="1" applyFill="1" applyBorder="1" applyAlignment="1">
      <alignment horizontal="left"/>
    </xf>
    <xf numFmtId="165" fontId="20" fillId="2" borderId="10" xfId="0" applyNumberFormat="1" applyFont="1" applyFill="1" applyBorder="1" applyAlignment="1">
      <alignment horizontal="left"/>
    </xf>
    <xf numFmtId="165" fontId="20" fillId="2" borderId="11" xfId="0" applyNumberFormat="1" applyFont="1" applyFill="1" applyBorder="1"/>
    <xf numFmtId="10" fontId="20" fillId="2" borderId="2" xfId="7" applyNumberFormat="1" applyFont="1" applyFill="1" applyBorder="1"/>
    <xf numFmtId="165" fontId="20" fillId="2" borderId="2" xfId="0" applyNumberFormat="1" applyFont="1" applyFill="1" applyBorder="1"/>
    <xf numFmtId="0" fontId="20" fillId="2" borderId="3" xfId="0" applyFont="1" applyFill="1" applyBorder="1" applyAlignment="1">
      <alignment horizontal="left"/>
    </xf>
    <xf numFmtId="0" fontId="23" fillId="2" borderId="14" xfId="0" applyFont="1" applyFill="1" applyBorder="1" applyAlignment="1">
      <alignment horizontal="left" vertical="top" wrapText="1"/>
    </xf>
    <xf numFmtId="0" fontId="23" fillId="2" borderId="6" xfId="0" applyFont="1" applyFill="1" applyBorder="1" applyAlignment="1">
      <alignment horizontal="right" vertical="top" wrapText="1"/>
    </xf>
    <xf numFmtId="0" fontId="23" fillId="2" borderId="16" xfId="0" applyFont="1" applyFill="1" applyBorder="1" applyAlignment="1">
      <alignment horizontal="right" vertical="top" wrapText="1"/>
    </xf>
    <xf numFmtId="3" fontId="20" fillId="2" borderId="1" xfId="0" applyNumberFormat="1" applyFont="1" applyFill="1" applyBorder="1" applyAlignment="1">
      <alignment vertical="top"/>
    </xf>
    <xf numFmtId="3" fontId="21" fillId="2" borderId="1" xfId="0" applyNumberFormat="1" applyFont="1" applyFill="1" applyBorder="1" applyAlignment="1">
      <alignment vertical="top"/>
    </xf>
    <xf numFmtId="3" fontId="21" fillId="2" borderId="3" xfId="0" applyNumberFormat="1" applyFont="1" applyFill="1" applyBorder="1" applyAlignment="1">
      <alignment vertical="top"/>
    </xf>
    <xf numFmtId="187" fontId="20" fillId="2" borderId="3" xfId="0" applyNumberFormat="1" applyFont="1" applyFill="1" applyBorder="1" applyAlignment="1">
      <alignment horizontal="right" vertical="top"/>
    </xf>
    <xf numFmtId="187" fontId="20" fillId="2" borderId="4" xfId="0" applyNumberFormat="1" applyFont="1" applyFill="1" applyBorder="1" applyAlignment="1">
      <alignment horizontal="right" vertical="top"/>
    </xf>
    <xf numFmtId="0" fontId="20" fillId="2" borderId="3" xfId="0" applyFont="1" applyFill="1" applyBorder="1" applyAlignment="1">
      <alignment vertical="top"/>
    </xf>
    <xf numFmtId="0" fontId="20" fillId="2" borderId="4" xfId="0" applyFont="1" applyFill="1" applyBorder="1" applyAlignment="1">
      <alignment vertical="top"/>
    </xf>
    <xf numFmtId="44" fontId="20" fillId="2" borderId="0" xfId="0" applyNumberFormat="1" applyFont="1" applyFill="1" applyBorder="1"/>
    <xf numFmtId="0" fontId="23" fillId="2" borderId="17" xfId="0" applyFont="1" applyFill="1" applyBorder="1" applyAlignment="1">
      <alignment horizontal="left" vertical="top" wrapText="1"/>
    </xf>
    <xf numFmtId="3" fontId="23" fillId="2" borderId="1" xfId="0" applyNumberFormat="1" applyFont="1" applyFill="1" applyBorder="1" applyAlignment="1">
      <alignment vertical="top"/>
    </xf>
    <xf numFmtId="3" fontId="23" fillId="2" borderId="9" xfId="0" applyNumberFormat="1" applyFont="1" applyFill="1" applyBorder="1" applyAlignment="1">
      <alignment vertical="top"/>
    </xf>
    <xf numFmtId="0" fontId="30" fillId="2" borderId="0" xfId="0" applyFont="1" applyFill="1" applyBorder="1" applyAlignment="1"/>
    <xf numFmtId="0" fontId="54" fillId="2" borderId="0" xfId="0" applyFont="1" applyFill="1" applyBorder="1" applyAlignment="1">
      <alignment horizontal="left"/>
    </xf>
    <xf numFmtId="0" fontId="23" fillId="2" borderId="14" xfId="0" applyFont="1" applyFill="1" applyBorder="1" applyAlignment="1">
      <alignment horizontal="justify" vertical="top" wrapText="1"/>
    </xf>
    <xf numFmtId="0" fontId="20" fillId="0" borderId="3" xfId="0" applyFont="1" applyBorder="1" applyAlignment="1">
      <alignment vertical="top"/>
    </xf>
    <xf numFmtId="0" fontId="20" fillId="0" borderId="9" xfId="0" applyFont="1" applyBorder="1" applyAlignment="1">
      <alignment vertical="top"/>
    </xf>
    <xf numFmtId="3" fontId="20" fillId="2" borderId="0" xfId="0" applyNumberFormat="1" applyFont="1" applyFill="1" applyAlignment="1">
      <alignment horizontal="left"/>
    </xf>
    <xf numFmtId="1" fontId="20" fillId="2" borderId="0" xfId="0" applyNumberFormat="1" applyFont="1" applyFill="1" applyBorder="1" applyAlignment="1">
      <alignment horizontal="center"/>
    </xf>
    <xf numFmtId="2" fontId="20" fillId="2" borderId="0" xfId="0" applyNumberFormat="1" applyFont="1" applyFill="1" applyBorder="1" applyAlignment="1">
      <alignment horizontal="center"/>
    </xf>
    <xf numFmtId="0" fontId="24" fillId="2" borderId="0" xfId="0" applyFont="1" applyFill="1" applyBorder="1"/>
    <xf numFmtId="170" fontId="20" fillId="2" borderId="0" xfId="0" applyNumberFormat="1" applyFont="1" applyFill="1" applyBorder="1"/>
    <xf numFmtId="49" fontId="20" fillId="2" borderId="29" xfId="0" applyNumberFormat="1" applyFont="1" applyFill="1" applyBorder="1" applyAlignment="1">
      <alignment horizontal="center"/>
    </xf>
    <xf numFmtId="181" fontId="20" fillId="2" borderId="29" xfId="0" applyNumberFormat="1" applyFont="1" applyFill="1" applyBorder="1" applyAlignment="1">
      <alignment horizontal="right"/>
    </xf>
    <xf numFmtId="181" fontId="20" fillId="2" borderId="24" xfId="0" applyNumberFormat="1" applyFont="1" applyFill="1" applyBorder="1" applyAlignment="1">
      <alignment horizontal="right"/>
    </xf>
    <xf numFmtId="0" fontId="20" fillId="2" borderId="13" xfId="0" applyFont="1" applyFill="1" applyBorder="1"/>
    <xf numFmtId="49" fontId="20" fillId="2" borderId="13" xfId="0" applyNumberFormat="1" applyFont="1" applyFill="1" applyBorder="1" applyAlignment="1">
      <alignment horizontal="center"/>
    </xf>
    <xf numFmtId="181" fontId="20" fillId="2" borderId="13" xfId="0" applyNumberFormat="1" applyFont="1" applyFill="1" applyBorder="1" applyAlignment="1">
      <alignment horizontal="right"/>
    </xf>
    <xf numFmtId="181" fontId="20" fillId="2" borderId="26" xfId="0" applyNumberFormat="1" applyFont="1" applyFill="1" applyBorder="1" applyAlignment="1">
      <alignment horizontal="right"/>
    </xf>
    <xf numFmtId="49" fontId="20" fillId="2" borderId="33" xfId="0" applyNumberFormat="1" applyFont="1" applyFill="1" applyBorder="1" applyAlignment="1">
      <alignment horizontal="center"/>
    </xf>
    <xf numFmtId="181" fontId="20" fillId="2" borderId="33" xfId="0" applyNumberFormat="1" applyFont="1" applyFill="1" applyBorder="1" applyAlignment="1">
      <alignment horizontal="right"/>
    </xf>
    <xf numFmtId="181" fontId="20" fillId="2" borderId="25" xfId="0" applyNumberFormat="1" applyFont="1" applyFill="1" applyBorder="1" applyAlignment="1">
      <alignment horizontal="right"/>
    </xf>
    <xf numFmtId="0" fontId="27" fillId="2" borderId="0" xfId="0" applyFont="1" applyFill="1" applyBorder="1" applyAlignment="1"/>
    <xf numFmtId="49" fontId="20" fillId="2" borderId="10" xfId="0" applyNumberFormat="1" applyFont="1" applyFill="1" applyBorder="1" applyAlignment="1">
      <alignment horizontal="center"/>
    </xf>
    <xf numFmtId="181" fontId="20" fillId="2" borderId="10" xfId="0" applyNumberFormat="1" applyFont="1" applyFill="1" applyBorder="1" applyAlignment="1">
      <alignment horizontal="right"/>
    </xf>
    <xf numFmtId="0" fontId="20" fillId="2" borderId="39" xfId="0" applyFont="1" applyFill="1" applyBorder="1"/>
    <xf numFmtId="181" fontId="20" fillId="2" borderId="29" xfId="0" applyNumberFormat="1" applyFont="1" applyFill="1" applyBorder="1"/>
    <xf numFmtId="181" fontId="20" fillId="2" borderId="24" xfId="0" applyNumberFormat="1" applyFont="1" applyFill="1" applyBorder="1"/>
    <xf numFmtId="0" fontId="20" fillId="2" borderId="40" xfId="0" applyFont="1" applyFill="1" applyBorder="1"/>
    <xf numFmtId="181" fontId="20" fillId="2" borderId="33" xfId="0" applyNumberFormat="1" applyFont="1" applyFill="1" applyBorder="1"/>
    <xf numFmtId="181" fontId="20" fillId="2" borderId="25" xfId="0" applyNumberFormat="1" applyFont="1" applyFill="1" applyBorder="1"/>
    <xf numFmtId="0" fontId="20" fillId="2" borderId="1" xfId="0" applyFont="1" applyFill="1" applyBorder="1"/>
    <xf numFmtId="49" fontId="20" fillId="2" borderId="0" xfId="0" applyNumberFormat="1" applyFont="1" applyFill="1" applyBorder="1" applyAlignment="1">
      <alignment horizontal="center"/>
    </xf>
    <xf numFmtId="181" fontId="20" fillId="2" borderId="0" xfId="0" applyNumberFormat="1" applyFont="1" applyFill="1" applyBorder="1" applyAlignment="1">
      <alignment horizontal="right"/>
    </xf>
    <xf numFmtId="0" fontId="23" fillId="5" borderId="41" xfId="0" applyFont="1" applyFill="1" applyBorder="1"/>
    <xf numFmtId="1" fontId="20" fillId="2" borderId="8" xfId="0" applyNumberFormat="1" applyFont="1" applyFill="1" applyBorder="1" applyAlignment="1">
      <alignment horizontal="center"/>
    </xf>
    <xf numFmtId="49" fontId="20" fillId="2" borderId="24" xfId="0" applyNumberFormat="1" applyFont="1" applyFill="1" applyBorder="1" applyAlignment="1">
      <alignment horizontal="center"/>
    </xf>
    <xf numFmtId="181" fontId="20" fillId="2" borderId="30" xfId="0" applyNumberFormat="1" applyFont="1" applyFill="1" applyBorder="1" applyAlignment="1">
      <alignment horizontal="right"/>
    </xf>
    <xf numFmtId="181" fontId="20" fillId="2" borderId="31" xfId="0" applyNumberFormat="1" applyFont="1" applyFill="1" applyBorder="1"/>
    <xf numFmtId="49" fontId="20" fillId="2" borderId="26" xfId="0" applyNumberFormat="1" applyFont="1" applyFill="1" applyBorder="1" applyAlignment="1">
      <alignment horizontal="center"/>
    </xf>
    <xf numFmtId="181" fontId="20" fillId="2" borderId="36" xfId="0" applyNumberFormat="1" applyFont="1" applyFill="1" applyBorder="1"/>
    <xf numFmtId="49" fontId="20" fillId="2" borderId="25" xfId="0" applyNumberFormat="1" applyFont="1" applyFill="1" applyBorder="1" applyAlignment="1">
      <alignment horizontal="center"/>
    </xf>
    <xf numFmtId="181" fontId="20" fillId="2" borderId="34" xfId="0" applyNumberFormat="1" applyFont="1" applyFill="1" applyBorder="1" applyAlignment="1">
      <alignment horizontal="right"/>
    </xf>
    <xf numFmtId="181" fontId="20" fillId="2" borderId="37" xfId="0" applyNumberFormat="1" applyFont="1" applyFill="1" applyBorder="1"/>
    <xf numFmtId="0" fontId="23" fillId="2" borderId="0" xfId="0" applyFont="1" applyFill="1" applyBorder="1" applyAlignment="1">
      <alignment horizontal="center"/>
    </xf>
    <xf numFmtId="181" fontId="23" fillId="2" borderId="0" xfId="0" applyNumberFormat="1" applyFont="1" applyFill="1" applyBorder="1" applyAlignment="1">
      <alignment horizontal="right"/>
    </xf>
    <xf numFmtId="0" fontId="23" fillId="6" borderId="44" xfId="0" applyFont="1" applyFill="1" applyBorder="1"/>
    <xf numFmtId="189" fontId="20" fillId="2" borderId="8" xfId="1" applyNumberFormat="1" applyFont="1" applyFill="1" applyBorder="1" applyAlignment="1">
      <alignment horizontal="center"/>
    </xf>
    <xf numFmtId="7" fontId="20" fillId="2" borderId="8" xfId="0" applyNumberFormat="1" applyFont="1" applyFill="1" applyBorder="1" applyAlignment="1">
      <alignment horizontal="center"/>
    </xf>
    <xf numFmtId="0" fontId="26" fillId="2" borderId="1" xfId="0" applyFont="1" applyFill="1" applyBorder="1"/>
    <xf numFmtId="0" fontId="20" fillId="2" borderId="28" xfId="0" applyFont="1" applyFill="1" applyBorder="1" applyAlignment="1">
      <alignment horizontal="center" vertical="top" wrapText="1"/>
    </xf>
    <xf numFmtId="0" fontId="20" fillId="0" borderId="0" xfId="0" applyFont="1" applyBorder="1" applyAlignment="1"/>
    <xf numFmtId="0" fontId="23" fillId="2" borderId="3" xfId="0" applyFont="1" applyFill="1" applyBorder="1" applyAlignment="1">
      <alignment vertical="top"/>
    </xf>
    <xf numFmtId="0" fontId="23" fillId="2" borderId="28" xfId="0" applyFont="1" applyFill="1" applyBorder="1" applyAlignment="1">
      <alignment horizontal="center" vertical="top"/>
    </xf>
    <xf numFmtId="10" fontId="23" fillId="2" borderId="0" xfId="0" applyNumberFormat="1" applyFont="1" applyFill="1" applyBorder="1" applyAlignment="1"/>
    <xf numFmtId="0" fontId="24" fillId="2" borderId="1" xfId="0" applyFont="1" applyFill="1" applyBorder="1"/>
    <xf numFmtId="0" fontId="20" fillId="2" borderId="2" xfId="0" applyFont="1" applyFill="1" applyBorder="1" applyAlignment="1">
      <alignment vertical="top" wrapText="1"/>
    </xf>
    <xf numFmtId="0" fontId="20" fillId="2" borderId="0" xfId="0" applyFont="1" applyFill="1" applyBorder="1" applyAlignment="1">
      <alignment horizontal="left" vertical="top" wrapText="1"/>
    </xf>
    <xf numFmtId="0" fontId="20" fillId="2" borderId="0" xfId="0" applyFont="1" applyFill="1" applyBorder="1" applyAlignment="1">
      <alignment horizontal="center" vertical="top"/>
    </xf>
    <xf numFmtId="0" fontId="20" fillId="2" borderId="14" xfId="0" applyFont="1" applyFill="1" applyBorder="1" applyAlignment="1">
      <alignment vertical="top"/>
    </xf>
    <xf numFmtId="0" fontId="20" fillId="2" borderId="16" xfId="0" applyFont="1" applyFill="1" applyBorder="1" applyAlignment="1">
      <alignment horizontal="center" vertical="top"/>
    </xf>
    <xf numFmtId="43" fontId="20" fillId="2" borderId="7" xfId="0" applyNumberFormat="1" applyFont="1" applyFill="1" applyBorder="1"/>
    <xf numFmtId="0" fontId="26" fillId="2" borderId="0" xfId="0" applyFont="1" applyFill="1" applyBorder="1" applyAlignment="1">
      <alignment horizontal="right" vertical="top"/>
    </xf>
    <xf numFmtId="0" fontId="55" fillId="2" borderId="0" xfId="0" applyFont="1" applyFill="1" applyBorder="1" applyAlignment="1">
      <alignment horizontal="left"/>
    </xf>
    <xf numFmtId="0" fontId="23" fillId="2" borderId="0" xfId="0" applyFont="1" applyFill="1" applyBorder="1" applyAlignment="1">
      <alignment vertical="top"/>
    </xf>
    <xf numFmtId="3" fontId="54" fillId="2" borderId="9" xfId="0" applyNumberFormat="1" applyFont="1" applyFill="1" applyBorder="1" applyAlignment="1"/>
    <xf numFmtId="187" fontId="23" fillId="2" borderId="10" xfId="0" applyNumberFormat="1" applyFont="1" applyFill="1" applyBorder="1" applyAlignment="1">
      <alignment horizontal="right" wrapText="1"/>
    </xf>
    <xf numFmtId="10" fontId="23" fillId="2" borderId="10" xfId="0" applyNumberFormat="1" applyFont="1" applyFill="1" applyBorder="1" applyAlignment="1">
      <alignment horizontal="right" wrapText="1"/>
    </xf>
    <xf numFmtId="0" fontId="20" fillId="2" borderId="11" xfId="0" applyFont="1" applyFill="1" applyBorder="1" applyAlignment="1">
      <alignment horizontal="center"/>
    </xf>
    <xf numFmtId="10" fontId="23" fillId="2" borderId="3" xfId="0" applyNumberFormat="1" applyFont="1" applyFill="1" applyBorder="1" applyAlignment="1"/>
    <xf numFmtId="0" fontId="23" fillId="2" borderId="14" xfId="0" applyFont="1" applyFill="1" applyBorder="1" applyAlignment="1">
      <alignment horizontal="center" vertical="top" wrapText="1"/>
    </xf>
    <xf numFmtId="0" fontId="50" fillId="2" borderId="0" xfId="0" applyFont="1" applyFill="1" applyBorder="1" applyAlignment="1">
      <alignment horizontal="left"/>
    </xf>
    <xf numFmtId="0" fontId="20" fillId="2" borderId="15" xfId="0" applyFont="1" applyFill="1" applyBorder="1"/>
    <xf numFmtId="0" fontId="23" fillId="2" borderId="17" xfId="0" applyFont="1" applyFill="1" applyBorder="1" applyAlignment="1">
      <alignment horizontal="center"/>
    </xf>
    <xf numFmtId="2" fontId="20" fillId="2" borderId="28" xfId="0" applyNumberFormat="1" applyFont="1" applyFill="1" applyBorder="1" applyAlignment="1">
      <alignment horizontal="center"/>
    </xf>
    <xf numFmtId="2" fontId="20" fillId="2" borderId="2" xfId="0" applyNumberFormat="1" applyFont="1" applyFill="1" applyBorder="1" applyAlignment="1">
      <alignment horizontal="center"/>
    </xf>
    <xf numFmtId="10" fontId="20" fillId="2" borderId="2" xfId="7" applyNumberFormat="1" applyFont="1" applyFill="1" applyBorder="1" applyAlignment="1">
      <alignment horizontal="center"/>
    </xf>
    <xf numFmtId="4" fontId="20" fillId="2" borderId="38" xfId="0" applyNumberFormat="1" applyFont="1" applyFill="1" applyBorder="1" applyAlignment="1">
      <alignment horizontal="center"/>
    </xf>
    <xf numFmtId="1" fontId="20" fillId="2" borderId="38" xfId="0" applyNumberFormat="1" applyFont="1" applyFill="1" applyBorder="1" applyAlignment="1">
      <alignment horizontal="center"/>
    </xf>
    <xf numFmtId="1" fontId="20" fillId="2" borderId="15" xfId="0" applyNumberFormat="1" applyFont="1" applyFill="1" applyBorder="1" applyAlignment="1">
      <alignment horizontal="center"/>
    </xf>
    <xf numFmtId="2" fontId="20" fillId="2" borderId="5" xfId="0" applyNumberFormat="1" applyFont="1" applyFill="1" applyBorder="1" applyAlignment="1">
      <alignment horizontal="center"/>
    </xf>
    <xf numFmtId="188" fontId="50" fillId="2" borderId="28" xfId="0" applyNumberFormat="1" applyFont="1" applyFill="1" applyBorder="1" applyAlignment="1">
      <alignment horizontal="right"/>
    </xf>
    <xf numFmtId="1" fontId="50" fillId="2" borderId="38" xfId="0" applyNumberFormat="1" applyFont="1" applyFill="1" applyBorder="1" applyAlignment="1">
      <alignment horizontal="right"/>
    </xf>
    <xf numFmtId="186" fontId="50" fillId="2" borderId="15" xfId="0" applyNumberFormat="1" applyFont="1" applyFill="1" applyBorder="1" applyAlignment="1">
      <alignment horizontal="right"/>
    </xf>
    <xf numFmtId="10" fontId="20" fillId="2" borderId="38" xfId="7" applyNumberFormat="1" applyFont="1" applyFill="1" applyBorder="1" applyAlignment="1">
      <alignment horizontal="right"/>
    </xf>
    <xf numFmtId="10" fontId="20" fillId="2" borderId="38" xfId="0" applyNumberFormat="1" applyFont="1" applyFill="1" applyBorder="1" applyAlignment="1">
      <alignment horizontal="right"/>
    </xf>
    <xf numFmtId="10" fontId="20" fillId="2" borderId="15" xfId="0" applyNumberFormat="1" applyFont="1" applyFill="1" applyBorder="1" applyAlignment="1">
      <alignment horizontal="right"/>
    </xf>
    <xf numFmtId="165" fontId="20" fillId="2" borderId="38" xfId="0" applyNumberFormat="1" applyFont="1" applyFill="1" applyBorder="1" applyAlignment="1">
      <alignment horizontal="right"/>
    </xf>
    <xf numFmtId="10" fontId="20" fillId="2" borderId="2" xfId="0" applyNumberFormat="1" applyFont="1" applyFill="1" applyBorder="1" applyAlignment="1">
      <alignment horizontal="right"/>
    </xf>
    <xf numFmtId="10" fontId="20" fillId="2" borderId="5" xfId="0" applyNumberFormat="1" applyFont="1" applyFill="1" applyBorder="1" applyAlignment="1">
      <alignment horizontal="right"/>
    </xf>
    <xf numFmtId="165" fontId="20" fillId="2" borderId="38" xfId="1" applyNumberFormat="1" applyFont="1" applyFill="1" applyBorder="1" applyAlignment="1">
      <alignment horizontal="right"/>
    </xf>
    <xf numFmtId="165" fontId="20" fillId="2" borderId="15" xfId="1" applyNumberFormat="1" applyFont="1" applyFill="1" applyBorder="1" applyAlignment="1">
      <alignment horizontal="right"/>
    </xf>
    <xf numFmtId="10" fontId="20" fillId="2" borderId="15" xfId="7" applyNumberFormat="1" applyFont="1" applyFill="1" applyBorder="1" applyAlignment="1">
      <alignment horizontal="right"/>
    </xf>
    <xf numFmtId="165" fontId="20" fillId="2" borderId="15" xfId="0" applyNumberFormat="1" applyFont="1" applyFill="1" applyBorder="1" applyAlignment="1">
      <alignment horizontal="right"/>
    </xf>
    <xf numFmtId="3" fontId="20" fillId="2" borderId="28" xfId="0" applyNumberFormat="1" applyFont="1" applyFill="1" applyBorder="1" applyAlignment="1"/>
    <xf numFmtId="189" fontId="20" fillId="2" borderId="28" xfId="0" applyNumberFormat="1" applyFont="1" applyFill="1" applyBorder="1" applyAlignment="1">
      <alignment horizontal="right"/>
    </xf>
    <xf numFmtId="189" fontId="20" fillId="2" borderId="38" xfId="0" applyNumberFormat="1" applyFont="1" applyFill="1" applyBorder="1" applyAlignment="1">
      <alignment horizontal="right"/>
    </xf>
    <xf numFmtId="3" fontId="20" fillId="2" borderId="15" xfId="0" applyNumberFormat="1" applyFont="1" applyFill="1" applyBorder="1" applyAlignment="1">
      <alignment horizontal="right"/>
    </xf>
    <xf numFmtId="3" fontId="54" fillId="2" borderId="17" xfId="0" applyNumberFormat="1" applyFont="1" applyFill="1" applyBorder="1" applyAlignment="1"/>
    <xf numFmtId="187" fontId="19" fillId="2" borderId="14" xfId="0" applyNumberFormat="1" applyFont="1" applyFill="1" applyBorder="1" applyAlignment="1">
      <alignment horizontal="right"/>
    </xf>
    <xf numFmtId="10" fontId="23" fillId="2" borderId="14" xfId="0" applyNumberFormat="1" applyFont="1" applyFill="1" applyBorder="1" applyAlignment="1">
      <alignment horizontal="right" vertical="top" wrapText="1"/>
    </xf>
    <xf numFmtId="187" fontId="23" fillId="2" borderId="14" xfId="0" applyNumberFormat="1" applyFont="1" applyFill="1" applyBorder="1" applyAlignment="1">
      <alignment horizontal="right" vertical="top" wrapText="1"/>
    </xf>
    <xf numFmtId="0" fontId="23" fillId="2" borderId="14" xfId="0" applyFont="1" applyFill="1" applyBorder="1" applyAlignment="1">
      <alignment horizontal="right" vertical="top" wrapText="1"/>
    </xf>
    <xf numFmtId="10" fontId="23" fillId="2" borderId="16" xfId="0" applyNumberFormat="1" applyFont="1" applyFill="1" applyBorder="1" applyAlignment="1">
      <alignment horizontal="right" vertical="top" wrapText="1"/>
    </xf>
    <xf numFmtId="0" fontId="54" fillId="2" borderId="0" xfId="0" applyFont="1" applyFill="1"/>
    <xf numFmtId="0" fontId="54" fillId="2" borderId="14" xfId="0" applyFont="1" applyFill="1" applyBorder="1" applyAlignment="1"/>
    <xf numFmtId="3" fontId="54" fillId="2" borderId="0" xfId="0" applyNumberFormat="1" applyFont="1" applyFill="1" applyBorder="1" applyAlignment="1">
      <alignment vertical="center"/>
    </xf>
    <xf numFmtId="186" fontId="50" fillId="2" borderId="0" xfId="0" applyNumberFormat="1" applyFont="1" applyFill="1" applyBorder="1" applyAlignment="1">
      <alignment horizontal="right"/>
    </xf>
    <xf numFmtId="187" fontId="25" fillId="2" borderId="1" xfId="0" applyNumberFormat="1" applyFont="1" applyFill="1" applyBorder="1" applyAlignment="1">
      <alignment horizontal="left" vertical="top"/>
    </xf>
    <xf numFmtId="187" fontId="25" fillId="2" borderId="3" xfId="0" applyNumberFormat="1" applyFont="1" applyFill="1" applyBorder="1" applyAlignment="1">
      <alignment horizontal="left" vertical="top"/>
    </xf>
    <xf numFmtId="0" fontId="23" fillId="2" borderId="0" xfId="0" applyFont="1" applyFill="1" applyBorder="1" applyAlignment="1">
      <alignment horizontal="left" vertical="top"/>
    </xf>
    <xf numFmtId="187" fontId="20" fillId="2" borderId="28" xfId="0" applyNumberFormat="1" applyFont="1" applyFill="1" applyBorder="1" applyAlignment="1">
      <alignment horizontal="left" vertical="top" wrapText="1"/>
    </xf>
    <xf numFmtId="187" fontId="20" fillId="2" borderId="38" xfId="0" applyNumberFormat="1" applyFont="1" applyFill="1" applyBorder="1" applyAlignment="1">
      <alignment horizontal="left" vertical="top" wrapText="1"/>
    </xf>
    <xf numFmtId="0" fontId="20" fillId="2" borderId="38" xfId="0" applyFont="1" applyFill="1" applyBorder="1" applyAlignment="1">
      <alignment vertical="top" wrapText="1"/>
    </xf>
    <xf numFmtId="187" fontId="37" fillId="2" borderId="9" xfId="3" applyNumberFormat="1" applyFont="1" applyFill="1" applyBorder="1" applyAlignment="1" applyProtection="1">
      <alignment horizontal="left"/>
    </xf>
    <xf numFmtId="187" fontId="37" fillId="2" borderId="1" xfId="3" applyNumberFormat="1" applyFont="1" applyFill="1" applyBorder="1" applyAlignment="1" applyProtection="1">
      <alignment horizontal="left"/>
    </xf>
    <xf numFmtId="0" fontId="37" fillId="2" borderId="1" xfId="0" applyFont="1" applyFill="1" applyBorder="1"/>
    <xf numFmtId="187" fontId="20" fillId="2" borderId="0" xfId="0" applyNumberFormat="1" applyFont="1" applyFill="1" applyBorder="1" applyAlignment="1">
      <alignment horizontal="left" wrapText="1"/>
    </xf>
    <xf numFmtId="0" fontId="20" fillId="2" borderId="28" xfId="0" applyFont="1" applyFill="1" applyBorder="1" applyAlignment="1">
      <alignment vertical="top" wrapText="1"/>
    </xf>
    <xf numFmtId="187" fontId="20" fillId="2" borderId="15" xfId="0" applyNumberFormat="1" applyFont="1" applyFill="1" applyBorder="1" applyAlignment="1">
      <alignment horizontal="left" vertical="top" wrapText="1"/>
    </xf>
    <xf numFmtId="43" fontId="20" fillId="10" borderId="0" xfId="0" applyNumberFormat="1" applyFont="1" applyFill="1" applyBorder="1"/>
    <xf numFmtId="15" fontId="20" fillId="0" borderId="0" xfId="5" applyNumberFormat="1" applyFont="1" applyFill="1"/>
    <xf numFmtId="0" fontId="20" fillId="0" borderId="0" xfId="5" applyFont="1" applyFill="1"/>
    <xf numFmtId="188" fontId="50" fillId="2" borderId="38" xfId="0" applyNumberFormat="1" applyFont="1" applyFill="1" applyBorder="1" applyAlignment="1">
      <alignment horizontal="right"/>
    </xf>
    <xf numFmtId="0" fontId="8" fillId="2" borderId="1" xfId="3" applyFill="1" applyBorder="1" applyAlignment="1" applyProtection="1"/>
    <xf numFmtId="0" fontId="8" fillId="2" borderId="3" xfId="3" applyFill="1" applyBorder="1" applyAlignment="1" applyProtection="1"/>
    <xf numFmtId="0" fontId="50" fillId="2" borderId="28" xfId="0" applyFont="1" applyFill="1" applyBorder="1" applyAlignment="1"/>
    <xf numFmtId="0" fontId="50" fillId="2" borderId="38" xfId="0" applyFont="1" applyFill="1" applyBorder="1" applyAlignment="1">
      <alignment horizontal="left"/>
    </xf>
    <xf numFmtId="186" fontId="50" fillId="2" borderId="38" xfId="0" applyNumberFormat="1" applyFont="1" applyFill="1" applyBorder="1" applyAlignment="1">
      <alignment horizontal="left"/>
    </xf>
    <xf numFmtId="186" fontId="50" fillId="2" borderId="15" xfId="0" applyNumberFormat="1" applyFont="1" applyFill="1" applyBorder="1" applyAlignment="1">
      <alignment horizontal="left"/>
    </xf>
    <xf numFmtId="3" fontId="54" fillId="17" borderId="0" xfId="0" applyNumberFormat="1" applyFont="1" applyFill="1" applyBorder="1" applyAlignment="1"/>
    <xf numFmtId="187" fontId="20" fillId="17" borderId="0" xfId="0" applyNumberFormat="1" applyFont="1" applyFill="1" applyAlignment="1">
      <alignment horizontal="right"/>
    </xf>
    <xf numFmtId="10" fontId="20" fillId="17" borderId="0" xfId="0" applyNumberFormat="1" applyFont="1" applyFill="1"/>
    <xf numFmtId="165" fontId="38" fillId="17" borderId="0" xfId="1" applyNumberFormat="1" applyFont="1" applyFill="1" applyAlignment="1">
      <alignment horizontal="right"/>
    </xf>
    <xf numFmtId="3" fontId="19" fillId="17" borderId="0" xfId="0" applyNumberFormat="1" applyFont="1" applyFill="1" applyBorder="1" applyAlignment="1">
      <alignment horizontal="center" wrapText="1"/>
    </xf>
    <xf numFmtId="0" fontId="20" fillId="17" borderId="0" xfId="0" applyFont="1" applyFill="1" applyBorder="1"/>
    <xf numFmtId="0" fontId="20" fillId="17" borderId="0" xfId="0" applyFont="1" applyFill="1"/>
    <xf numFmtId="10" fontId="20" fillId="17" borderId="0" xfId="0" applyNumberFormat="1" applyFont="1" applyFill="1" applyBorder="1" applyAlignment="1"/>
    <xf numFmtId="195" fontId="20" fillId="17" borderId="0" xfId="0" applyNumberFormat="1" applyFont="1" applyFill="1" applyBorder="1" applyAlignment="1">
      <alignment horizontal="right"/>
    </xf>
    <xf numFmtId="165" fontId="20" fillId="17" borderId="0" xfId="1" applyNumberFormat="1" applyFont="1" applyFill="1" applyBorder="1" applyAlignment="1">
      <alignment horizontal="right"/>
    </xf>
    <xf numFmtId="10" fontId="20" fillId="17" borderId="0" xfId="0" applyNumberFormat="1" applyFont="1" applyFill="1" applyBorder="1"/>
    <xf numFmtId="187" fontId="20" fillId="17" borderId="0" xfId="0" applyNumberFormat="1" applyFont="1" applyFill="1" applyBorder="1" applyAlignment="1">
      <alignment horizontal="right"/>
    </xf>
    <xf numFmtId="0" fontId="20" fillId="17" borderId="0" xfId="0" applyFont="1" applyFill="1" applyBorder="1" applyAlignment="1">
      <alignment horizontal="right" wrapText="1"/>
    </xf>
    <xf numFmtId="10" fontId="24" fillId="17" borderId="0" xfId="0" applyNumberFormat="1" applyFont="1" applyFill="1" applyAlignment="1"/>
    <xf numFmtId="0" fontId="55" fillId="17" borderId="0" xfId="0" applyFont="1" applyFill="1" applyAlignment="1">
      <alignment horizontal="left"/>
    </xf>
    <xf numFmtId="187" fontId="20" fillId="17" borderId="0" xfId="0" applyNumberFormat="1" applyFont="1" applyFill="1" applyBorder="1" applyAlignment="1">
      <alignment horizontal="center"/>
    </xf>
    <xf numFmtId="10" fontId="20" fillId="17" borderId="0" xfId="0" applyNumberFormat="1" applyFont="1" applyFill="1" applyBorder="1" applyAlignment="1">
      <alignment horizontal="center"/>
    </xf>
    <xf numFmtId="0" fontId="20" fillId="17" borderId="0" xfId="0" applyFont="1" applyFill="1" applyBorder="1" applyAlignment="1">
      <alignment horizontal="center"/>
    </xf>
    <xf numFmtId="10" fontId="23" fillId="17" borderId="0" xfId="0" applyNumberFormat="1" applyFont="1" applyFill="1" applyBorder="1" applyAlignment="1"/>
    <xf numFmtId="165" fontId="38" fillId="17" borderId="0" xfId="1" applyNumberFormat="1" applyFont="1" applyFill="1" applyBorder="1" applyAlignment="1">
      <alignment horizontal="right"/>
    </xf>
    <xf numFmtId="194" fontId="20" fillId="17" borderId="0" xfId="0" applyNumberFormat="1" applyFont="1" applyFill="1" applyBorder="1" applyAlignment="1">
      <alignment horizontal="center"/>
    </xf>
    <xf numFmtId="195" fontId="20" fillId="17" borderId="0" xfId="0" applyNumberFormat="1" applyFont="1" applyFill="1" applyBorder="1" applyAlignment="1">
      <alignment horizontal="center"/>
    </xf>
    <xf numFmtId="196" fontId="20" fillId="17" borderId="0" xfId="0" applyNumberFormat="1" applyFont="1" applyFill="1" applyBorder="1" applyAlignment="1">
      <alignment horizontal="center"/>
    </xf>
    <xf numFmtId="186" fontId="20" fillId="17" borderId="0" xfId="0" applyNumberFormat="1" applyFont="1" applyFill="1" applyBorder="1" applyAlignment="1">
      <alignment horizontal="center"/>
    </xf>
    <xf numFmtId="3" fontId="54" fillId="17" borderId="9" xfId="0" applyNumberFormat="1" applyFont="1" applyFill="1" applyBorder="1" applyAlignment="1">
      <alignment wrapText="1"/>
    </xf>
    <xf numFmtId="187" fontId="20" fillId="17" borderId="10" xfId="0" applyNumberFormat="1" applyFont="1" applyFill="1" applyBorder="1" applyAlignment="1">
      <alignment horizontal="right"/>
    </xf>
    <xf numFmtId="194" fontId="19" fillId="17" borderId="0" xfId="0" applyNumberFormat="1" applyFont="1" applyFill="1" applyBorder="1" applyAlignment="1">
      <alignment horizontal="center"/>
    </xf>
    <xf numFmtId="0" fontId="20" fillId="17" borderId="1" xfId="5" applyFont="1" applyFill="1" applyBorder="1" applyAlignment="1"/>
    <xf numFmtId="0" fontId="20" fillId="17" borderId="2" xfId="0" applyFont="1" applyFill="1" applyBorder="1" applyAlignment="1">
      <alignment horizontal="center"/>
    </xf>
    <xf numFmtId="191" fontId="20" fillId="17" borderId="0" xfId="0" applyNumberFormat="1" applyFont="1" applyFill="1" applyBorder="1" applyAlignment="1">
      <alignment horizontal="center"/>
    </xf>
    <xf numFmtId="191" fontId="20" fillId="17" borderId="2" xfId="0" applyNumberFormat="1" applyFont="1" applyFill="1" applyBorder="1" applyAlignment="1">
      <alignment horizontal="center"/>
    </xf>
    <xf numFmtId="195" fontId="20" fillId="17" borderId="2" xfId="0" applyNumberFormat="1" applyFont="1" applyFill="1" applyBorder="1" applyAlignment="1">
      <alignment horizontal="center"/>
    </xf>
    <xf numFmtId="192" fontId="20" fillId="17" borderId="0" xfId="0" applyNumberFormat="1" applyFont="1" applyFill="1" applyBorder="1" applyAlignment="1">
      <alignment horizontal="center"/>
    </xf>
    <xf numFmtId="192" fontId="20" fillId="17" borderId="2" xfId="0" applyNumberFormat="1" applyFont="1" applyFill="1" applyBorder="1" applyAlignment="1">
      <alignment horizontal="center"/>
    </xf>
    <xf numFmtId="0" fontId="20" fillId="17" borderId="0" xfId="0" applyFont="1" applyFill="1" applyBorder="1" applyAlignment="1">
      <alignment horizontal="center" wrapText="1"/>
    </xf>
    <xf numFmtId="0" fontId="20" fillId="17" borderId="2" xfId="0" applyFont="1" applyFill="1" applyBorder="1" applyAlignment="1">
      <alignment horizontal="center" wrapText="1"/>
    </xf>
    <xf numFmtId="168" fontId="20" fillId="17" borderId="0" xfId="7" applyNumberFormat="1" applyFont="1" applyFill="1" applyBorder="1" applyAlignment="1">
      <alignment horizontal="center"/>
    </xf>
    <xf numFmtId="168" fontId="20" fillId="17" borderId="2" xfId="7" applyNumberFormat="1" applyFont="1" applyFill="1" applyBorder="1" applyAlignment="1">
      <alignment horizontal="center"/>
    </xf>
    <xf numFmtId="0" fontId="20" fillId="17" borderId="1" xfId="0" applyFont="1" applyFill="1" applyBorder="1" applyAlignment="1"/>
    <xf numFmtId="186" fontId="20" fillId="17" borderId="2" xfId="0" applyNumberFormat="1" applyFont="1" applyFill="1" applyBorder="1" applyAlignment="1">
      <alignment horizontal="center"/>
    </xf>
    <xf numFmtId="0" fontId="19" fillId="17" borderId="9" xfId="5" applyFont="1" applyFill="1" applyBorder="1" applyAlignment="1"/>
    <xf numFmtId="0" fontId="20" fillId="17" borderId="10" xfId="0" applyFont="1" applyFill="1" applyBorder="1" applyAlignment="1">
      <alignment horizontal="center"/>
    </xf>
    <xf numFmtId="0" fontId="23" fillId="17" borderId="1" xfId="0" applyFont="1" applyFill="1" applyBorder="1" applyAlignment="1"/>
    <xf numFmtId="187" fontId="20" fillId="17" borderId="2" xfId="0" applyNumberFormat="1" applyFont="1" applyFill="1" applyBorder="1" applyAlignment="1">
      <alignment horizontal="center"/>
    </xf>
    <xf numFmtId="0" fontId="19" fillId="17" borderId="1" xfId="0" applyFont="1" applyFill="1" applyBorder="1" applyAlignment="1"/>
    <xf numFmtId="10" fontId="20" fillId="17" borderId="1" xfId="0" applyNumberFormat="1" applyFont="1" applyFill="1" applyBorder="1" applyAlignment="1"/>
    <xf numFmtId="187" fontId="20" fillId="17" borderId="4" xfId="0" applyNumberFormat="1" applyFont="1" applyFill="1" applyBorder="1" applyAlignment="1">
      <alignment horizontal="right"/>
    </xf>
    <xf numFmtId="0" fontId="20" fillId="17" borderId="0" xfId="1" applyNumberFormat="1" applyFont="1" applyFill="1" applyBorder="1" applyAlignment="1">
      <alignment horizontal="center"/>
    </xf>
    <xf numFmtId="213" fontId="19" fillId="17" borderId="10" xfId="0" applyNumberFormat="1" applyFont="1" applyFill="1" applyBorder="1" applyAlignment="1">
      <alignment horizontal="center"/>
    </xf>
    <xf numFmtId="194" fontId="19" fillId="17" borderId="10" xfId="0" applyNumberFormat="1" applyFont="1" applyFill="1" applyBorder="1" applyAlignment="1">
      <alignment horizontal="center"/>
    </xf>
    <xf numFmtId="213" fontId="19" fillId="17" borderId="0" xfId="0" applyNumberFormat="1" applyFont="1" applyFill="1" applyBorder="1" applyAlignment="1">
      <alignment horizontal="center"/>
    </xf>
    <xf numFmtId="195" fontId="19" fillId="17" borderId="0" xfId="0" applyNumberFormat="1" applyFont="1" applyFill="1" applyBorder="1" applyAlignment="1">
      <alignment horizontal="center"/>
    </xf>
    <xf numFmtId="3" fontId="54" fillId="17" borderId="1" xfId="0" applyNumberFormat="1" applyFont="1" applyFill="1" applyBorder="1" applyAlignment="1">
      <alignment wrapText="1"/>
    </xf>
    <xf numFmtId="195" fontId="19" fillId="17" borderId="2" xfId="0" applyNumberFormat="1" applyFont="1" applyFill="1" applyBorder="1" applyAlignment="1">
      <alignment horizontal="center"/>
    </xf>
    <xf numFmtId="187" fontId="20" fillId="17" borderId="0" xfId="5" applyNumberFormat="1" applyFont="1" applyFill="1" applyBorder="1" applyAlignment="1">
      <alignment horizontal="right"/>
    </xf>
    <xf numFmtId="213" fontId="20" fillId="17" borderId="0" xfId="0" applyNumberFormat="1" applyFont="1" applyFill="1" applyBorder="1" applyAlignment="1">
      <alignment horizontal="center"/>
    </xf>
    <xf numFmtId="194" fontId="20" fillId="17" borderId="0" xfId="0" applyNumberFormat="1" applyFont="1" applyFill="1" applyBorder="1"/>
    <xf numFmtId="0" fontId="20" fillId="17" borderId="1" xfId="5" applyFont="1" applyFill="1" applyBorder="1" applyAlignment="1">
      <alignment horizontal="left"/>
    </xf>
    <xf numFmtId="0" fontId="20" fillId="17" borderId="0" xfId="5" applyFont="1" applyFill="1" applyBorder="1" applyAlignment="1">
      <alignment horizontal="left"/>
    </xf>
    <xf numFmtId="0" fontId="63" fillId="17" borderId="0" xfId="0" applyFont="1" applyFill="1" applyBorder="1" applyAlignment="1">
      <alignment horizontal="center" wrapText="1"/>
    </xf>
    <xf numFmtId="0" fontId="63" fillId="17" borderId="0" xfId="0" applyFont="1" applyFill="1" applyBorder="1" applyAlignment="1">
      <alignment horizontal="left" wrapText="1"/>
    </xf>
    <xf numFmtId="0" fontId="63" fillId="17" borderId="0" xfId="0" applyFont="1" applyFill="1" applyBorder="1" applyAlignment="1">
      <alignment horizontal="center"/>
    </xf>
    <xf numFmtId="0" fontId="38" fillId="17" borderId="0" xfId="0" applyFont="1" applyFill="1"/>
    <xf numFmtId="190" fontId="63" fillId="17" borderId="0" xfId="0" applyNumberFormat="1" applyFont="1" applyFill="1" applyBorder="1" applyAlignment="1">
      <alignment horizontal="center"/>
    </xf>
    <xf numFmtId="3" fontId="20" fillId="17" borderId="1" xfId="0" applyNumberFormat="1" applyFont="1" applyFill="1" applyBorder="1" applyAlignment="1"/>
    <xf numFmtId="187" fontId="20" fillId="17" borderId="10" xfId="0" applyNumberFormat="1" applyFont="1" applyFill="1" applyBorder="1" applyAlignment="1">
      <alignment horizontal="center"/>
    </xf>
    <xf numFmtId="0" fontId="20" fillId="17" borderId="11" xfId="0" applyFont="1" applyFill="1" applyBorder="1" applyAlignment="1">
      <alignment horizontal="center"/>
    </xf>
    <xf numFmtId="10" fontId="20" fillId="17" borderId="2" xfId="0" applyNumberFormat="1" applyFont="1" applyFill="1" applyBorder="1" applyAlignment="1">
      <alignment horizontal="center"/>
    </xf>
    <xf numFmtId="0" fontId="19" fillId="17" borderId="3" xfId="5" applyFont="1" applyFill="1" applyBorder="1" applyAlignment="1"/>
    <xf numFmtId="0" fontId="20" fillId="17" borderId="4" xfId="0" applyFont="1" applyFill="1" applyBorder="1" applyAlignment="1">
      <alignment horizontal="center"/>
    </xf>
    <xf numFmtId="187" fontId="20" fillId="17" borderId="4" xfId="0" applyNumberFormat="1" applyFont="1" applyFill="1" applyBorder="1" applyAlignment="1">
      <alignment horizontal="center"/>
    </xf>
    <xf numFmtId="0" fontId="20" fillId="17" borderId="5" xfId="0" applyFont="1" applyFill="1" applyBorder="1" applyAlignment="1">
      <alignment horizontal="center"/>
    </xf>
    <xf numFmtId="0" fontId="19" fillId="17" borderId="0" xfId="5" applyFont="1" applyFill="1" applyBorder="1" applyAlignment="1"/>
    <xf numFmtId="3" fontId="54" fillId="17" borderId="0" xfId="0" applyNumberFormat="1" applyFont="1" applyFill="1" applyBorder="1" applyAlignment="1">
      <alignment wrapText="1"/>
    </xf>
    <xf numFmtId="10" fontId="20" fillId="17" borderId="0" xfId="0" applyNumberFormat="1" applyFont="1" applyFill="1" applyBorder="1" applyAlignment="1">
      <alignment horizontal="center" wrapText="1"/>
    </xf>
    <xf numFmtId="213" fontId="19" fillId="17" borderId="11" xfId="0" applyNumberFormat="1" applyFont="1" applyFill="1" applyBorder="1" applyAlignment="1">
      <alignment horizontal="center"/>
    </xf>
    <xf numFmtId="195" fontId="20" fillId="17" borderId="0" xfId="0" quotePrefix="1" applyNumberFormat="1" applyFont="1" applyFill="1" applyBorder="1" applyAlignment="1">
      <alignment horizontal="center"/>
    </xf>
    <xf numFmtId="0" fontId="20" fillId="17" borderId="4" xfId="0" applyFont="1" applyFill="1" applyBorder="1"/>
    <xf numFmtId="0" fontId="20" fillId="17" borderId="5" xfId="0" applyFont="1" applyFill="1" applyBorder="1"/>
    <xf numFmtId="0" fontId="55" fillId="17" borderId="9" xfId="0" applyFont="1" applyFill="1" applyBorder="1" applyAlignment="1">
      <alignment horizontal="left"/>
    </xf>
    <xf numFmtId="10" fontId="20" fillId="17" borderId="10" xfId="0" applyNumberFormat="1" applyFont="1" applyFill="1" applyBorder="1"/>
    <xf numFmtId="0" fontId="20" fillId="17" borderId="10" xfId="0" applyFont="1" applyFill="1" applyBorder="1"/>
    <xf numFmtId="0" fontId="20" fillId="17" borderId="11" xfId="0" applyFont="1" applyFill="1" applyBorder="1"/>
    <xf numFmtId="0" fontId="55" fillId="17" borderId="1" xfId="0" applyFont="1" applyFill="1" applyBorder="1" applyAlignment="1">
      <alignment horizontal="left"/>
    </xf>
    <xf numFmtId="0" fontId="20" fillId="17" borderId="2" xfId="0" applyFont="1" applyFill="1" applyBorder="1"/>
    <xf numFmtId="181" fontId="20" fillId="17" borderId="0" xfId="1" applyNumberFormat="1" applyFont="1" applyFill="1" applyBorder="1"/>
    <xf numFmtId="43" fontId="20" fillId="17" borderId="0" xfId="0" applyNumberFormat="1" applyFont="1" applyFill="1" applyBorder="1"/>
    <xf numFmtId="181" fontId="20" fillId="17" borderId="0" xfId="0" applyNumberFormat="1" applyFont="1" applyFill="1" applyBorder="1"/>
    <xf numFmtId="168" fontId="20" fillId="17" borderId="0" xfId="0" applyNumberFormat="1" applyFont="1" applyFill="1" applyBorder="1"/>
    <xf numFmtId="43" fontId="20" fillId="17" borderId="0" xfId="1" applyFont="1" applyFill="1" applyBorder="1"/>
    <xf numFmtId="0" fontId="32" fillId="17" borderId="2" xfId="0" applyFont="1" applyFill="1" applyBorder="1"/>
    <xf numFmtId="43" fontId="20" fillId="17" borderId="2" xfId="0" applyNumberFormat="1" applyFont="1" applyFill="1" applyBorder="1"/>
    <xf numFmtId="166" fontId="20" fillId="17" borderId="0" xfId="7" applyNumberFormat="1" applyFont="1" applyFill="1" applyBorder="1" applyAlignment="1">
      <alignment horizontal="right"/>
    </xf>
    <xf numFmtId="171" fontId="20" fillId="17" borderId="0" xfId="0" applyNumberFormat="1" applyFont="1" applyFill="1" applyBorder="1"/>
    <xf numFmtId="3" fontId="23" fillId="17" borderId="3" xfId="0" applyNumberFormat="1" applyFont="1" applyFill="1" applyBorder="1" applyAlignment="1">
      <alignment wrapText="1"/>
    </xf>
    <xf numFmtId="0" fontId="23" fillId="17" borderId="4" xfId="0" applyFont="1" applyFill="1" applyBorder="1" applyAlignment="1">
      <alignment wrapText="1"/>
    </xf>
    <xf numFmtId="10" fontId="20" fillId="17" borderId="4" xfId="0" applyNumberFormat="1" applyFont="1" applyFill="1" applyBorder="1"/>
    <xf numFmtId="187" fontId="20" fillId="17" borderId="5" xfId="0" applyNumberFormat="1" applyFont="1" applyFill="1" applyBorder="1" applyAlignment="1">
      <alignment horizontal="right"/>
    </xf>
    <xf numFmtId="187" fontId="19" fillId="17" borderId="0" xfId="0" applyNumberFormat="1" applyFont="1" applyFill="1" applyAlignment="1">
      <alignment horizontal="right" wrapText="1"/>
    </xf>
    <xf numFmtId="3" fontId="19" fillId="17" borderId="0" xfId="0" applyNumberFormat="1" applyFont="1" applyFill="1" applyBorder="1" applyAlignment="1"/>
    <xf numFmtId="187" fontId="19" fillId="17" borderId="0" xfId="0" applyNumberFormat="1" applyFont="1" applyFill="1" applyAlignment="1">
      <alignment horizontal="right"/>
    </xf>
    <xf numFmtId="43" fontId="20" fillId="17" borderId="0" xfId="0" applyNumberFormat="1" applyFont="1" applyFill="1" applyAlignment="1">
      <alignment horizontal="right" wrapText="1"/>
    </xf>
    <xf numFmtId="3" fontId="20" fillId="17" borderId="0" xfId="0" applyNumberFormat="1" applyFont="1" applyFill="1" applyAlignment="1"/>
    <xf numFmtId="0" fontId="23" fillId="17" borderId="17" xfId="0" applyFont="1" applyFill="1" applyBorder="1" applyAlignment="1"/>
    <xf numFmtId="0" fontId="27" fillId="17" borderId="14" xfId="0" applyFont="1" applyFill="1" applyBorder="1" applyAlignment="1">
      <alignment horizontal="center"/>
    </xf>
    <xf numFmtId="187" fontId="27" fillId="17" borderId="16" xfId="0" applyNumberFormat="1" applyFont="1" applyFill="1" applyBorder="1" applyAlignment="1">
      <alignment horizontal="center"/>
    </xf>
    <xf numFmtId="0" fontId="20" fillId="17" borderId="38" xfId="0" applyFont="1" applyFill="1" applyBorder="1" applyAlignment="1">
      <alignment horizontal="center"/>
    </xf>
    <xf numFmtId="0" fontId="20" fillId="17" borderId="28" xfId="0" applyFont="1" applyFill="1" applyBorder="1"/>
    <xf numFmtId="3" fontId="20" fillId="17" borderId="38" xfId="0" applyNumberFormat="1" applyFont="1" applyFill="1" applyBorder="1" applyAlignment="1">
      <alignment horizontal="center"/>
    </xf>
    <xf numFmtId="189" fontId="20" fillId="17" borderId="2" xfId="0" applyNumberFormat="1" applyFont="1" applyFill="1" applyBorder="1" applyAlignment="1">
      <alignment horizontal="center"/>
    </xf>
    <xf numFmtId="187" fontId="20" fillId="17" borderId="38" xfId="0" applyNumberFormat="1" applyFont="1" applyFill="1" applyBorder="1" applyAlignment="1">
      <alignment horizontal="center"/>
    </xf>
    <xf numFmtId="2" fontId="20" fillId="17" borderId="38" xfId="0" applyNumberFormat="1" applyFont="1" applyFill="1" applyBorder="1" applyAlignment="1">
      <alignment horizontal="center"/>
    </xf>
    <xf numFmtId="10" fontId="20" fillId="17" borderId="38" xfId="0" applyNumberFormat="1" applyFont="1" applyFill="1" applyBorder="1" applyAlignment="1">
      <alignment horizontal="center"/>
    </xf>
    <xf numFmtId="0" fontId="20" fillId="17" borderId="3" xfId="0" applyFont="1" applyFill="1" applyBorder="1" applyAlignment="1"/>
    <xf numFmtId="2" fontId="20" fillId="17" borderId="15" xfId="0" applyNumberFormat="1" applyFont="1" applyFill="1" applyBorder="1"/>
    <xf numFmtId="0" fontId="20" fillId="17" borderId="15" xfId="0" applyFont="1" applyFill="1" applyBorder="1"/>
    <xf numFmtId="0" fontId="56" fillId="17" borderId="0" xfId="0" applyFont="1" applyFill="1" applyBorder="1" applyAlignment="1">
      <alignment horizontal="center"/>
    </xf>
    <xf numFmtId="187" fontId="56" fillId="17" borderId="0" xfId="0" applyNumberFormat="1" applyFont="1" applyFill="1" applyBorder="1" applyAlignment="1">
      <alignment horizontal="center"/>
    </xf>
    <xf numFmtId="195" fontId="54" fillId="17" borderId="0" xfId="0" applyNumberFormat="1" applyFont="1" applyFill="1" applyBorder="1" applyAlignment="1">
      <alignment horizontal="center"/>
    </xf>
    <xf numFmtId="218" fontId="56" fillId="17" borderId="0" xfId="0" applyNumberFormat="1" applyFont="1" applyFill="1" applyBorder="1" applyAlignment="1">
      <alignment horizontal="center"/>
    </xf>
    <xf numFmtId="181" fontId="56" fillId="17" borderId="0" xfId="0" applyNumberFormat="1" applyFont="1" applyFill="1" applyBorder="1" applyAlignment="1">
      <alignment horizontal="center"/>
    </xf>
    <xf numFmtId="185" fontId="56" fillId="17" borderId="0" xfId="0" applyNumberFormat="1" applyFont="1" applyFill="1" applyBorder="1" applyAlignment="1">
      <alignment horizontal="center"/>
    </xf>
    <xf numFmtId="194" fontId="56" fillId="17" borderId="0" xfId="0" applyNumberFormat="1" applyFont="1" applyFill="1" applyBorder="1" applyAlignment="1">
      <alignment horizontal="center"/>
    </xf>
    <xf numFmtId="195" fontId="56" fillId="17" borderId="0" xfId="0" applyNumberFormat="1" applyFont="1" applyFill="1" applyBorder="1" applyAlignment="1">
      <alignment horizontal="center"/>
    </xf>
    <xf numFmtId="15" fontId="20" fillId="16" borderId="0" xfId="5" applyNumberFormat="1" applyFont="1" applyFill="1"/>
    <xf numFmtId="43" fontId="20" fillId="16" borderId="0" xfId="5" applyNumberFormat="1" applyFont="1" applyFill="1" applyAlignment="1">
      <alignment wrapText="1"/>
    </xf>
    <xf numFmtId="15" fontId="1" fillId="16" borderId="0" xfId="5" applyNumberFormat="1" applyFill="1"/>
    <xf numFmtId="165" fontId="1" fillId="16" borderId="13" xfId="5" applyNumberFormat="1" applyFill="1" applyBorder="1"/>
    <xf numFmtId="165" fontId="1" fillId="16" borderId="0" xfId="5" applyNumberFormat="1" applyFill="1" applyBorder="1"/>
    <xf numFmtId="43" fontId="1" fillId="16" borderId="0" xfId="5" applyNumberFormat="1" applyFill="1" applyBorder="1"/>
    <xf numFmtId="165" fontId="1" fillId="16" borderId="36" xfId="5" applyNumberFormat="1" applyFill="1" applyBorder="1"/>
    <xf numFmtId="15" fontId="1" fillId="16" borderId="13" xfId="5" applyNumberFormat="1" applyFill="1" applyBorder="1"/>
    <xf numFmtId="0" fontId="1" fillId="16" borderId="0" xfId="5" applyFill="1" applyBorder="1"/>
    <xf numFmtId="0" fontId="1" fillId="16" borderId="36" xfId="5" applyFill="1" applyBorder="1"/>
    <xf numFmtId="0" fontId="1" fillId="16" borderId="13" xfId="5" applyFill="1" applyBorder="1"/>
    <xf numFmtId="43" fontId="1" fillId="16" borderId="13" xfId="5" applyNumberFormat="1" applyFill="1" applyBorder="1"/>
    <xf numFmtId="43" fontId="1" fillId="16" borderId="36" xfId="5" applyNumberFormat="1" applyFill="1" applyBorder="1"/>
    <xf numFmtId="0" fontId="1" fillId="16" borderId="0" xfId="5" applyFill="1"/>
    <xf numFmtId="15" fontId="1" fillId="16" borderId="0" xfId="5" applyNumberFormat="1" applyFill="1" applyBorder="1"/>
    <xf numFmtId="165" fontId="1" fillId="16" borderId="0" xfId="1" applyNumberFormat="1" applyFill="1" applyBorder="1"/>
    <xf numFmtId="43" fontId="1" fillId="16" borderId="0" xfId="1" applyNumberFormat="1" applyFill="1" applyBorder="1"/>
    <xf numFmtId="165" fontId="1" fillId="16" borderId="32" xfId="5" applyNumberFormat="1" applyFill="1" applyBorder="1"/>
    <xf numFmtId="43" fontId="1" fillId="16" borderId="13" xfId="1" applyFill="1" applyBorder="1"/>
    <xf numFmtId="43" fontId="1" fillId="16" borderId="0" xfId="1" applyFill="1" applyBorder="1"/>
    <xf numFmtId="43" fontId="1" fillId="16" borderId="36" xfId="1" applyFill="1" applyBorder="1"/>
    <xf numFmtId="43" fontId="1" fillId="19" borderId="0" xfId="5" applyNumberFormat="1" applyFill="1" applyBorder="1"/>
    <xf numFmtId="43" fontId="4" fillId="0" borderId="13" xfId="5" applyNumberFormat="1" applyFont="1" applyBorder="1"/>
    <xf numFmtId="43" fontId="4" fillId="0" borderId="0" xfId="5" applyNumberFormat="1" applyFont="1" applyBorder="1"/>
    <xf numFmtId="43" fontId="4" fillId="0" borderId="13" xfId="1" applyNumberFormat="1" applyFont="1" applyBorder="1"/>
    <xf numFmtId="43" fontId="4" fillId="0" borderId="0" xfId="1" applyNumberFormat="1" applyFont="1" applyBorder="1"/>
    <xf numFmtId="215" fontId="1" fillId="19" borderId="0" xfId="5" applyNumberFormat="1" applyFill="1" applyBorder="1"/>
    <xf numFmtId="43" fontId="20" fillId="17" borderId="7" xfId="0" applyNumberFormat="1" applyFont="1" applyFill="1" applyBorder="1" applyAlignment="1">
      <alignment horizontal="right" wrapText="1"/>
    </xf>
    <xf numFmtId="10" fontId="20" fillId="17" borderId="0" xfId="0" applyNumberFormat="1" applyFont="1" applyFill="1" applyBorder="1" applyAlignment="1">
      <alignment horizontal="right"/>
    </xf>
    <xf numFmtId="10" fontId="20" fillId="17" borderId="0" xfId="0" applyNumberFormat="1" applyFont="1" applyFill="1" applyBorder="1" applyAlignment="1">
      <alignment horizontal="left"/>
    </xf>
    <xf numFmtId="165" fontId="20" fillId="17" borderId="0" xfId="0" applyNumberFormat="1" applyFont="1" applyFill="1" applyBorder="1" applyAlignment="1">
      <alignment horizontal="right"/>
    </xf>
    <xf numFmtId="0" fontId="23" fillId="17" borderId="0" xfId="0" applyFont="1" applyFill="1" applyBorder="1" applyAlignment="1">
      <alignment horizontal="right" wrapText="1"/>
    </xf>
    <xf numFmtId="43" fontId="20" fillId="17" borderId="0" xfId="0" applyNumberFormat="1" applyFont="1" applyFill="1" applyBorder="1" applyAlignment="1">
      <alignment horizontal="right"/>
    </xf>
    <xf numFmtId="0" fontId="24" fillId="2" borderId="3" xfId="0" applyFont="1" applyFill="1" applyBorder="1"/>
    <xf numFmtId="0" fontId="54" fillId="17" borderId="9" xfId="0" applyFont="1" applyFill="1" applyBorder="1" applyAlignment="1">
      <alignment horizontal="left"/>
    </xf>
    <xf numFmtId="10" fontId="23" fillId="17" borderId="9" xfId="0" applyNumberFormat="1" applyFont="1" applyFill="1" applyBorder="1" applyAlignment="1">
      <alignment horizontal="right"/>
    </xf>
    <xf numFmtId="0" fontId="23" fillId="17" borderId="28" xfId="0" applyFont="1" applyFill="1" applyBorder="1" applyAlignment="1">
      <alignment horizontal="right"/>
    </xf>
    <xf numFmtId="3" fontId="20" fillId="17" borderId="1" xfId="0" applyNumberFormat="1" applyFont="1" applyFill="1" applyBorder="1" applyAlignment="1">
      <alignment horizontal="right"/>
    </xf>
    <xf numFmtId="187" fontId="20" fillId="17" borderId="38" xfId="0" applyNumberFormat="1" applyFont="1" applyFill="1" applyBorder="1"/>
    <xf numFmtId="0" fontId="20" fillId="17" borderId="9" xfId="0" applyFont="1" applyFill="1" applyBorder="1" applyAlignment="1">
      <alignment horizontal="right"/>
    </xf>
    <xf numFmtId="165" fontId="20" fillId="17" borderId="1" xfId="0" applyNumberFormat="1" applyFont="1" applyFill="1" applyBorder="1" applyAlignment="1">
      <alignment horizontal="right"/>
    </xf>
    <xf numFmtId="43" fontId="20" fillId="17" borderId="38" xfId="0" applyNumberFormat="1" applyFont="1" applyFill="1" applyBorder="1"/>
    <xf numFmtId="10" fontId="20" fillId="17" borderId="3" xfId="0" applyNumberFormat="1" applyFont="1" applyFill="1" applyBorder="1"/>
    <xf numFmtId="187" fontId="20" fillId="17" borderId="15" xfId="0" applyNumberFormat="1" applyFont="1" applyFill="1" applyBorder="1" applyAlignment="1">
      <alignment horizontal="right"/>
    </xf>
    <xf numFmtId="0" fontId="56" fillId="20" borderId="1" xfId="5" applyFont="1" applyFill="1" applyBorder="1" applyAlignment="1"/>
    <xf numFmtId="195" fontId="56" fillId="17" borderId="7" xfId="0" applyNumberFormat="1" applyFont="1" applyFill="1" applyBorder="1" applyAlignment="1">
      <alignment horizontal="center"/>
    </xf>
    <xf numFmtId="213" fontId="56" fillId="17" borderId="7" xfId="0" applyNumberFormat="1" applyFont="1" applyFill="1" applyBorder="1" applyAlignment="1">
      <alignment horizontal="center"/>
    </xf>
    <xf numFmtId="168" fontId="64" fillId="17" borderId="0" xfId="7" applyNumberFormat="1" applyFont="1" applyFill="1" applyBorder="1" applyAlignment="1">
      <alignment horizontal="left"/>
    </xf>
    <xf numFmtId="219" fontId="56" fillId="20" borderId="0" xfId="0" applyNumberFormat="1" applyFont="1" applyFill="1" applyBorder="1" applyAlignment="1">
      <alignment horizontal="center"/>
    </xf>
    <xf numFmtId="185" fontId="56" fillId="12" borderId="0" xfId="0" applyNumberFormat="1" applyFont="1" applyFill="1" applyBorder="1" applyAlignment="1">
      <alignment horizontal="center"/>
    </xf>
    <xf numFmtId="185" fontId="56" fillId="20" borderId="0" xfId="0" applyNumberFormat="1" applyFont="1" applyFill="1" applyBorder="1" applyAlignment="1">
      <alignment horizontal="center"/>
    </xf>
    <xf numFmtId="185" fontId="56" fillId="21" borderId="0" xfId="0" applyNumberFormat="1" applyFont="1" applyFill="1" applyBorder="1" applyAlignment="1">
      <alignment horizontal="center"/>
    </xf>
    <xf numFmtId="181" fontId="56" fillId="21" borderId="0" xfId="0" applyNumberFormat="1" applyFont="1" applyFill="1" applyBorder="1" applyAlignment="1">
      <alignment horizontal="center"/>
    </xf>
    <xf numFmtId="194" fontId="56" fillId="12" borderId="0" xfId="0" applyNumberFormat="1" applyFont="1" applyFill="1" applyBorder="1" applyAlignment="1">
      <alignment horizontal="center"/>
    </xf>
    <xf numFmtId="212" fontId="56" fillId="12" borderId="0" xfId="0" applyNumberFormat="1" applyFont="1" applyFill="1" applyBorder="1" applyAlignment="1">
      <alignment horizontal="center"/>
    </xf>
    <xf numFmtId="212" fontId="56" fillId="17" borderId="0" xfId="0" applyNumberFormat="1" applyFont="1" applyFill="1" applyBorder="1" applyAlignment="1">
      <alignment horizontal="center"/>
    </xf>
    <xf numFmtId="0" fontId="20" fillId="17" borderId="0" xfId="0" applyFont="1" applyFill="1" applyBorder="1" applyAlignment="1">
      <alignment vertical="top" wrapText="1"/>
    </xf>
    <xf numFmtId="0" fontId="20" fillId="17" borderId="0" xfId="0" applyFont="1" applyFill="1" applyBorder="1" applyAlignment="1">
      <alignment vertical="top"/>
    </xf>
    <xf numFmtId="0" fontId="20" fillId="17" borderId="1" xfId="5" applyFont="1" applyFill="1" applyBorder="1" applyAlignment="1">
      <alignment horizontal="left"/>
    </xf>
    <xf numFmtId="0" fontId="20" fillId="17" borderId="0" xfId="5" applyFont="1" applyFill="1" applyBorder="1" applyAlignment="1">
      <alignment horizontal="left"/>
    </xf>
    <xf numFmtId="213" fontId="19" fillId="17" borderId="2" xfId="0" applyNumberFormat="1" applyFont="1" applyFill="1" applyBorder="1" applyAlignment="1">
      <alignment horizontal="center"/>
    </xf>
    <xf numFmtId="43" fontId="1" fillId="4" borderId="0" xfId="1" applyNumberFormat="1" applyFill="1" applyBorder="1"/>
    <xf numFmtId="205" fontId="1" fillId="4" borderId="0" xfId="1" applyNumberFormat="1" applyFill="1" applyBorder="1"/>
    <xf numFmtId="43" fontId="1" fillId="4" borderId="0" xfId="1" applyFill="1" applyBorder="1"/>
    <xf numFmtId="43" fontId="1" fillId="19" borderId="0" xfId="1" applyFill="1" applyBorder="1"/>
    <xf numFmtId="43" fontId="1" fillId="4" borderId="36" xfId="1" applyFill="1" applyBorder="1"/>
    <xf numFmtId="172" fontId="29" fillId="18" borderId="17" xfId="6" applyNumberFormat="1" applyFont="1" applyFill="1" applyBorder="1" applyAlignment="1">
      <alignment horizontal="left" vertical="center" wrapText="1"/>
    </xf>
    <xf numFmtId="187" fontId="20" fillId="2" borderId="0" xfId="0" applyNumberFormat="1" applyFont="1" applyFill="1"/>
    <xf numFmtId="187" fontId="20" fillId="22" borderId="0" xfId="0" applyNumberFormat="1" applyFont="1" applyFill="1" applyBorder="1" applyAlignment="1">
      <alignment horizontal="right"/>
    </xf>
    <xf numFmtId="43" fontId="20" fillId="22" borderId="0" xfId="0" applyNumberFormat="1" applyFont="1" applyFill="1" applyBorder="1" applyAlignment="1">
      <alignment horizontal="right"/>
    </xf>
    <xf numFmtId="43" fontId="20" fillId="22" borderId="0" xfId="0" applyNumberFormat="1" applyFont="1" applyFill="1" applyBorder="1"/>
    <xf numFmtId="43" fontId="20" fillId="22" borderId="0" xfId="1" applyFont="1" applyFill="1" applyBorder="1" applyAlignment="1">
      <alignment vertical="top" wrapText="1"/>
    </xf>
    <xf numFmtId="0" fontId="20" fillId="15" borderId="0" xfId="0" applyFont="1" applyFill="1" applyBorder="1" applyAlignment="1">
      <alignment horizontal="center"/>
    </xf>
    <xf numFmtId="187" fontId="20" fillId="15" borderId="0" xfId="0" applyNumberFormat="1" applyFont="1" applyFill="1" applyBorder="1" applyAlignment="1">
      <alignment horizontal="center"/>
    </xf>
    <xf numFmtId="187" fontId="20" fillId="15" borderId="2" xfId="0" applyNumberFormat="1" applyFont="1" applyFill="1" applyBorder="1" applyAlignment="1">
      <alignment horizontal="center"/>
    </xf>
    <xf numFmtId="0" fontId="20" fillId="15" borderId="0" xfId="0" quotePrefix="1" applyFont="1" applyFill="1" applyBorder="1" applyAlignment="1">
      <alignment horizontal="center"/>
    </xf>
    <xf numFmtId="0" fontId="20" fillId="15" borderId="0" xfId="1" quotePrefix="1" applyNumberFormat="1" applyFont="1" applyFill="1" applyBorder="1" applyAlignment="1">
      <alignment horizontal="center"/>
    </xf>
    <xf numFmtId="0" fontId="20" fillId="15" borderId="2" xfId="0" quotePrefix="1" applyFont="1" applyFill="1" applyBorder="1" applyAlignment="1">
      <alignment horizontal="center"/>
    </xf>
    <xf numFmtId="191" fontId="20" fillId="15" borderId="0" xfId="0" applyNumberFormat="1" applyFont="1" applyFill="1" applyBorder="1" applyAlignment="1">
      <alignment horizontal="center"/>
    </xf>
    <xf numFmtId="191" fontId="20" fillId="15" borderId="2" xfId="0" applyNumberFormat="1" applyFont="1" applyFill="1" applyBorder="1" applyAlignment="1">
      <alignment horizontal="center"/>
    </xf>
    <xf numFmtId="195" fontId="20" fillId="15" borderId="0" xfId="0" applyNumberFormat="1" applyFont="1" applyFill="1" applyBorder="1" applyAlignment="1">
      <alignment horizontal="center"/>
    </xf>
    <xf numFmtId="196" fontId="20" fillId="15" borderId="0" xfId="0" applyNumberFormat="1" applyFont="1" applyFill="1" applyBorder="1" applyAlignment="1">
      <alignment horizontal="center"/>
    </xf>
    <xf numFmtId="195" fontId="20" fillId="15" borderId="2" xfId="0" applyNumberFormat="1" applyFont="1" applyFill="1" applyBorder="1" applyAlignment="1">
      <alignment horizontal="center"/>
    </xf>
    <xf numFmtId="195" fontId="20" fillId="15" borderId="0" xfId="0" quotePrefix="1" applyNumberFormat="1" applyFont="1" applyFill="1" applyBorder="1" applyAlignment="1">
      <alignment horizontal="center"/>
    </xf>
    <xf numFmtId="192" fontId="20" fillId="15" borderId="0" xfId="0" applyNumberFormat="1" applyFont="1" applyFill="1" applyBorder="1" applyAlignment="1">
      <alignment horizontal="center"/>
    </xf>
    <xf numFmtId="192" fontId="20" fillId="15" borderId="2" xfId="0" applyNumberFormat="1" applyFont="1" applyFill="1" applyBorder="1" applyAlignment="1">
      <alignment horizontal="center"/>
    </xf>
    <xf numFmtId="196" fontId="20" fillId="15" borderId="2" xfId="0" applyNumberFormat="1" applyFont="1" applyFill="1" applyBorder="1" applyAlignment="1">
      <alignment horizontal="center"/>
    </xf>
    <xf numFmtId="0" fontId="20" fillId="15" borderId="0" xfId="0" applyFont="1" applyFill="1" applyBorder="1" applyAlignment="1">
      <alignment horizontal="center" wrapText="1"/>
    </xf>
    <xf numFmtId="0" fontId="20" fillId="15" borderId="2" xfId="0" applyFont="1" applyFill="1" applyBorder="1" applyAlignment="1">
      <alignment horizontal="center" wrapText="1"/>
    </xf>
    <xf numFmtId="168" fontId="20" fillId="15" borderId="0" xfId="7" applyNumberFormat="1" applyFont="1" applyFill="1" applyBorder="1" applyAlignment="1">
      <alignment horizontal="center"/>
    </xf>
    <xf numFmtId="168" fontId="20" fillId="15" borderId="2" xfId="7" applyNumberFormat="1" applyFont="1" applyFill="1" applyBorder="1" applyAlignment="1">
      <alignment horizontal="center"/>
    </xf>
    <xf numFmtId="186" fontId="20" fillId="15" borderId="0" xfId="0" applyNumberFormat="1" applyFont="1" applyFill="1" applyBorder="1" applyAlignment="1">
      <alignment horizontal="center"/>
    </xf>
    <xf numFmtId="186" fontId="20" fillId="15" borderId="2" xfId="0" applyNumberFormat="1" applyFont="1" applyFill="1" applyBorder="1" applyAlignment="1">
      <alignment horizontal="center"/>
    </xf>
    <xf numFmtId="186" fontId="20" fillId="15" borderId="5" xfId="0" applyNumberFormat="1" applyFont="1" applyFill="1" applyBorder="1" applyAlignment="1">
      <alignment horizontal="center"/>
    </xf>
    <xf numFmtId="0" fontId="20" fillId="15" borderId="10" xfId="0" applyFont="1" applyFill="1" applyBorder="1" applyAlignment="1">
      <alignment horizontal="center"/>
    </xf>
    <xf numFmtId="187" fontId="20" fillId="15" borderId="10" xfId="0" applyNumberFormat="1" applyFont="1" applyFill="1" applyBorder="1" applyAlignment="1">
      <alignment horizontal="center"/>
    </xf>
    <xf numFmtId="0" fontId="20" fillId="15" borderId="11" xfId="0" applyFont="1" applyFill="1" applyBorder="1" applyAlignment="1">
      <alignment horizontal="center"/>
    </xf>
    <xf numFmtId="0" fontId="20" fillId="15" borderId="2" xfId="0" applyFont="1" applyFill="1" applyBorder="1" applyAlignment="1">
      <alignment horizontal="center"/>
    </xf>
    <xf numFmtId="213" fontId="20" fillId="15" borderId="0" xfId="0" applyNumberFormat="1" applyFont="1" applyFill="1" applyBorder="1" applyAlignment="1">
      <alignment horizontal="center"/>
    </xf>
    <xf numFmtId="10" fontId="20" fillId="15" borderId="0" xfId="0" applyNumberFormat="1" applyFont="1" applyFill="1" applyBorder="1" applyAlignment="1">
      <alignment horizontal="center"/>
    </xf>
    <xf numFmtId="0" fontId="20" fillId="15" borderId="4" xfId="0" applyFont="1" applyFill="1" applyBorder="1" applyAlignment="1">
      <alignment horizontal="center"/>
    </xf>
    <xf numFmtId="187" fontId="20" fillId="15" borderId="4" xfId="0" applyNumberFormat="1" applyFont="1" applyFill="1" applyBorder="1" applyAlignment="1">
      <alignment horizontal="center"/>
    </xf>
    <xf numFmtId="0" fontId="20" fillId="15" borderId="4" xfId="0" applyFont="1" applyFill="1" applyBorder="1"/>
    <xf numFmtId="0" fontId="20" fillId="15" borderId="5" xfId="0" applyFont="1" applyFill="1" applyBorder="1" applyAlignment="1">
      <alignment horizontal="center"/>
    </xf>
    <xf numFmtId="3" fontId="54" fillId="15" borderId="14" xfId="0" applyNumberFormat="1" applyFont="1" applyFill="1" applyBorder="1" applyAlignment="1">
      <alignment vertical="top"/>
    </xf>
    <xf numFmtId="187" fontId="23" fillId="15" borderId="14" xfId="0" applyNumberFormat="1" applyFont="1" applyFill="1" applyBorder="1" applyAlignment="1">
      <alignment horizontal="right" vertical="top"/>
    </xf>
    <xf numFmtId="187" fontId="23" fillId="15" borderId="16" xfId="0" applyNumberFormat="1" applyFont="1" applyFill="1" applyBorder="1" applyAlignment="1">
      <alignment horizontal="right" vertical="top"/>
    </xf>
    <xf numFmtId="165" fontId="23" fillId="15" borderId="14" xfId="1" applyNumberFormat="1" applyFont="1" applyFill="1" applyBorder="1" applyAlignment="1">
      <alignment horizontal="right" vertical="top" wrapText="1"/>
    </xf>
    <xf numFmtId="10" fontId="24" fillId="15" borderId="28" xfId="0" applyNumberFormat="1" applyFont="1" applyFill="1" applyBorder="1" applyAlignment="1">
      <alignment vertical="top" wrapText="1"/>
    </xf>
    <xf numFmtId="187" fontId="23" fillId="15" borderId="38" xfId="0" applyNumberFormat="1" applyFont="1" applyFill="1" applyBorder="1" applyAlignment="1">
      <alignment horizontal="right" vertical="top"/>
    </xf>
    <xf numFmtId="187" fontId="23" fillId="15" borderId="11" xfId="0" applyNumberFormat="1" applyFont="1" applyFill="1" applyBorder="1" applyAlignment="1">
      <alignment horizontal="right" vertical="top"/>
    </xf>
    <xf numFmtId="165" fontId="23" fillId="15" borderId="28" xfId="1" applyNumberFormat="1" applyFont="1" applyFill="1" applyBorder="1" applyAlignment="1">
      <alignment horizontal="right" vertical="top" wrapText="1"/>
    </xf>
    <xf numFmtId="10" fontId="24" fillId="15" borderId="38" xfId="0" applyNumberFormat="1" applyFont="1" applyFill="1" applyBorder="1" applyAlignment="1">
      <alignment vertical="top" wrapText="1"/>
    </xf>
    <xf numFmtId="187" fontId="23" fillId="15" borderId="2" xfId="0" applyNumberFormat="1" applyFont="1" applyFill="1" applyBorder="1" applyAlignment="1">
      <alignment horizontal="right" vertical="top"/>
    </xf>
    <xf numFmtId="165" fontId="23" fillId="15" borderId="38" xfId="1" applyNumberFormat="1" applyFont="1" applyFill="1" applyBorder="1" applyAlignment="1">
      <alignment horizontal="right" vertical="top" wrapText="1"/>
    </xf>
    <xf numFmtId="10" fontId="20" fillId="15" borderId="38" xfId="0" applyNumberFormat="1" applyFont="1" applyFill="1" applyBorder="1" applyAlignment="1"/>
    <xf numFmtId="165" fontId="20" fillId="15" borderId="38" xfId="1" applyNumberFormat="1" applyFont="1" applyFill="1" applyBorder="1" applyAlignment="1">
      <alignment horizontal="center"/>
    </xf>
    <xf numFmtId="165" fontId="20" fillId="15" borderId="38" xfId="1" applyNumberFormat="1" applyFont="1" applyFill="1" applyBorder="1" applyAlignment="1">
      <alignment horizontal="right"/>
    </xf>
    <xf numFmtId="10" fontId="23" fillId="15" borderId="38" xfId="0" applyNumberFormat="1" applyFont="1" applyFill="1" applyBorder="1" applyAlignment="1"/>
    <xf numFmtId="187" fontId="20" fillId="15" borderId="38" xfId="0" applyNumberFormat="1" applyFont="1" applyFill="1" applyBorder="1" applyAlignment="1">
      <alignment horizontal="right"/>
    </xf>
    <xf numFmtId="10" fontId="20" fillId="15" borderId="38" xfId="0" applyNumberFormat="1" applyFont="1" applyFill="1" applyBorder="1"/>
    <xf numFmtId="217" fontId="20" fillId="15" borderId="38" xfId="0" applyNumberFormat="1" applyFont="1" applyFill="1" applyBorder="1" applyAlignment="1">
      <alignment horizontal="right"/>
    </xf>
    <xf numFmtId="168" fontId="20" fillId="15" borderId="38" xfId="7" applyNumberFormat="1" applyFont="1" applyFill="1" applyBorder="1" applyAlignment="1">
      <alignment horizontal="right"/>
    </xf>
    <xf numFmtId="165" fontId="38" fillId="15" borderId="38" xfId="1" applyNumberFormat="1" applyFont="1" applyFill="1" applyBorder="1" applyAlignment="1">
      <alignment horizontal="right"/>
    </xf>
    <xf numFmtId="0" fontId="20" fillId="15" borderId="38" xfId="0" applyFont="1" applyFill="1" applyBorder="1" applyAlignment="1">
      <alignment horizontal="right" wrapText="1"/>
    </xf>
    <xf numFmtId="165" fontId="23" fillId="15" borderId="38" xfId="0" applyNumberFormat="1" applyFont="1" applyFill="1" applyBorder="1" applyAlignment="1">
      <alignment horizontal="right" wrapText="1"/>
    </xf>
    <xf numFmtId="10" fontId="20" fillId="15" borderId="15" xfId="0" applyNumberFormat="1" applyFont="1" applyFill="1" applyBorder="1" applyAlignment="1"/>
    <xf numFmtId="217" fontId="20" fillId="15" borderId="15" xfId="0" applyNumberFormat="1" applyFont="1" applyFill="1" applyBorder="1" applyAlignment="1">
      <alignment horizontal="right"/>
    </xf>
    <xf numFmtId="217" fontId="20" fillId="15" borderId="5" xfId="0" applyNumberFormat="1" applyFont="1" applyFill="1" applyBorder="1" applyAlignment="1">
      <alignment horizontal="right"/>
    </xf>
    <xf numFmtId="0" fontId="23" fillId="15" borderId="0" xfId="0" applyFont="1" applyFill="1" applyAlignment="1"/>
    <xf numFmtId="187" fontId="20" fillId="15" borderId="0" xfId="0" applyNumberFormat="1" applyFont="1" applyFill="1" applyAlignment="1">
      <alignment horizontal="right"/>
    </xf>
    <xf numFmtId="10" fontId="20" fillId="15" borderId="0" xfId="0" applyNumberFormat="1" applyFont="1" applyFill="1"/>
    <xf numFmtId="0" fontId="20" fillId="15" borderId="0" xfId="0" applyFont="1" applyFill="1"/>
    <xf numFmtId="0" fontId="20" fillId="15" borderId="0" xfId="0" applyFont="1" applyFill="1" applyAlignment="1">
      <alignment horizontal="right"/>
    </xf>
    <xf numFmtId="0" fontId="20" fillId="15" borderId="0" xfId="0" applyFont="1" applyFill="1" applyAlignment="1">
      <alignment horizontal="center"/>
    </xf>
    <xf numFmtId="0" fontId="20" fillId="15" borderId="0" xfId="0" applyFont="1" applyFill="1" applyBorder="1"/>
    <xf numFmtId="0" fontId="55" fillId="15" borderId="0" xfId="0" applyFont="1" applyFill="1" applyBorder="1" applyAlignment="1"/>
    <xf numFmtId="0" fontId="54" fillId="15" borderId="0" xfId="0" applyFont="1" applyFill="1" applyAlignment="1">
      <alignment horizontal="center"/>
    </xf>
    <xf numFmtId="10" fontId="24" fillId="15" borderId="0" xfId="0" applyNumberFormat="1" applyFont="1" applyFill="1"/>
    <xf numFmtId="0" fontId="25" fillId="15" borderId="0" xfId="0" applyFont="1" applyFill="1" applyAlignment="1">
      <alignment horizontal="right" wrapText="1"/>
    </xf>
    <xf numFmtId="187" fontId="25" fillId="15" borderId="0" xfId="0" applyNumberFormat="1" applyFont="1" applyFill="1" applyAlignment="1">
      <alignment horizontal="right" wrapText="1"/>
    </xf>
    <xf numFmtId="10" fontId="25" fillId="15" borderId="0" xfId="0" applyNumberFormat="1" applyFont="1" applyFill="1" applyAlignment="1">
      <alignment horizontal="right" wrapText="1"/>
    </xf>
    <xf numFmtId="0" fontId="20" fillId="15" borderId="0" xfId="0" applyFont="1" applyFill="1" applyAlignment="1">
      <alignment horizontal="right" wrapText="1"/>
    </xf>
    <xf numFmtId="0" fontId="25" fillId="15" borderId="0" xfId="0" applyFont="1" applyFill="1" applyAlignment="1">
      <alignment horizontal="right"/>
    </xf>
    <xf numFmtId="49" fontId="20" fillId="15" borderId="0" xfId="0" applyNumberFormat="1" applyFont="1" applyFill="1" applyAlignment="1">
      <alignment horizontal="right"/>
    </xf>
    <xf numFmtId="43" fontId="20" fillId="15" borderId="0" xfId="1" applyFont="1" applyFill="1" applyAlignment="1">
      <alignment horizontal="right"/>
    </xf>
    <xf numFmtId="10" fontId="20" fillId="15" borderId="0" xfId="0" applyNumberFormat="1" applyFont="1" applyFill="1" applyAlignment="1">
      <alignment horizontal="right"/>
    </xf>
    <xf numFmtId="189" fontId="20" fillId="15" borderId="0" xfId="0" applyNumberFormat="1" applyFont="1" applyFill="1" applyAlignment="1">
      <alignment horizontal="right"/>
    </xf>
    <xf numFmtId="49" fontId="23" fillId="15" borderId="0" xfId="0" applyNumberFormat="1" applyFont="1" applyFill="1" applyAlignment="1">
      <alignment horizontal="right"/>
    </xf>
    <xf numFmtId="43" fontId="20" fillId="15" borderId="7" xfId="1" applyFont="1" applyFill="1" applyBorder="1" applyAlignment="1">
      <alignment horizontal="right"/>
    </xf>
    <xf numFmtId="10" fontId="20" fillId="15" borderId="7" xfId="0" applyNumberFormat="1" applyFont="1" applyFill="1" applyBorder="1" applyAlignment="1">
      <alignment horizontal="right"/>
    </xf>
    <xf numFmtId="189" fontId="20" fillId="15" borderId="7" xfId="0" applyNumberFormat="1" applyFont="1" applyFill="1" applyBorder="1" applyAlignment="1">
      <alignment horizontal="right"/>
    </xf>
    <xf numFmtId="0" fontId="23" fillId="15" borderId="0" xfId="0" applyFont="1" applyFill="1" applyAlignment="1">
      <alignment horizontal="right"/>
    </xf>
    <xf numFmtId="187" fontId="20" fillId="15" borderId="7" xfId="0" applyNumberFormat="1" applyFont="1" applyFill="1" applyBorder="1" applyAlignment="1">
      <alignment horizontal="right"/>
    </xf>
    <xf numFmtId="187" fontId="20" fillId="15" borderId="0" xfId="0" applyNumberFormat="1" applyFont="1" applyFill="1" applyBorder="1" applyAlignment="1">
      <alignment horizontal="right"/>
    </xf>
    <xf numFmtId="10" fontId="20" fillId="15" borderId="0" xfId="0" applyNumberFormat="1" applyFont="1" applyFill="1" applyBorder="1" applyAlignment="1">
      <alignment horizontal="right"/>
    </xf>
    <xf numFmtId="189" fontId="20" fillId="15" borderId="0" xfId="0" applyNumberFormat="1" applyFont="1" applyFill="1" applyBorder="1" applyAlignment="1">
      <alignment horizontal="right"/>
    </xf>
    <xf numFmtId="10" fontId="20" fillId="15" borderId="0" xfId="0" applyNumberFormat="1" applyFont="1" applyFill="1" applyAlignment="1">
      <alignment horizontal="center"/>
    </xf>
    <xf numFmtId="10" fontId="20" fillId="15" borderId="0" xfId="7" applyNumberFormat="1" applyFont="1" applyFill="1" applyBorder="1" applyAlignment="1">
      <alignment horizontal="right"/>
    </xf>
    <xf numFmtId="10" fontId="20" fillId="15" borderId="0" xfId="0" applyNumberFormat="1" applyFont="1" applyFill="1" applyBorder="1" applyAlignment="1">
      <alignment horizontal="left"/>
    </xf>
    <xf numFmtId="165" fontId="20" fillId="15" borderId="0" xfId="0" applyNumberFormat="1" applyFont="1" applyFill="1" applyBorder="1" applyAlignment="1">
      <alignment horizontal="right"/>
    </xf>
    <xf numFmtId="6" fontId="25" fillId="15" borderId="0" xfId="0" applyNumberFormat="1" applyFont="1" applyFill="1" applyAlignment="1">
      <alignment horizontal="right"/>
    </xf>
    <xf numFmtId="10" fontId="20" fillId="15" borderId="0" xfId="7" applyNumberFormat="1" applyFont="1" applyFill="1" applyAlignment="1">
      <alignment horizontal="right"/>
    </xf>
    <xf numFmtId="43" fontId="20" fillId="15" borderId="0" xfId="0" applyNumberFormat="1" applyFont="1" applyFill="1" applyAlignment="1">
      <alignment horizontal="right"/>
    </xf>
    <xf numFmtId="0" fontId="23" fillId="15" borderId="0" xfId="0" applyFont="1" applyFill="1" applyBorder="1" applyAlignment="1">
      <alignment horizontal="right" wrapText="1"/>
    </xf>
    <xf numFmtId="0" fontId="25" fillId="15" borderId="0" xfId="0" applyFont="1" applyFill="1" applyBorder="1" applyAlignment="1">
      <alignment horizontal="right" wrapText="1"/>
    </xf>
    <xf numFmtId="0" fontId="20" fillId="15" borderId="0" xfId="0" applyFont="1" applyFill="1" applyBorder="1" applyAlignment="1">
      <alignment horizontal="right" wrapText="1"/>
    </xf>
    <xf numFmtId="187" fontId="23" fillId="15" borderId="0" xfId="0" applyNumberFormat="1" applyFont="1" applyFill="1" applyAlignment="1">
      <alignment horizontal="right"/>
    </xf>
    <xf numFmtId="0" fontId="54" fillId="15" borderId="0" xfId="0" applyFont="1" applyFill="1" applyAlignment="1">
      <alignment horizontal="left"/>
    </xf>
    <xf numFmtId="0" fontId="20" fillId="15" borderId="0" xfId="0" applyFont="1" applyFill="1" applyAlignment="1">
      <alignment horizontal="center" wrapText="1"/>
    </xf>
    <xf numFmtId="0" fontId="25" fillId="15" borderId="0" xfId="0" applyFont="1" applyFill="1" applyAlignment="1">
      <alignment horizontal="left" wrapText="1"/>
    </xf>
    <xf numFmtId="0" fontId="20" fillId="15" borderId="0" xfId="0" applyFont="1" applyFill="1" applyAlignment="1">
      <alignment wrapText="1"/>
    </xf>
    <xf numFmtId="0" fontId="20" fillId="15" borderId="0" xfId="0" applyFont="1" applyFill="1" applyBorder="1" applyAlignment="1">
      <alignment wrapText="1"/>
    </xf>
    <xf numFmtId="49" fontId="20" fillId="15" borderId="0" xfId="0" applyNumberFormat="1" applyFont="1" applyFill="1" applyAlignment="1">
      <alignment horizontal="right" wrapText="1"/>
    </xf>
    <xf numFmtId="4" fontId="20" fillId="15" borderId="0" xfId="0" applyNumberFormat="1" applyFont="1" applyFill="1" applyAlignment="1">
      <alignment horizontal="right" wrapText="1"/>
    </xf>
    <xf numFmtId="10" fontId="20" fillId="15" borderId="0" xfId="7" applyNumberFormat="1" applyFont="1" applyFill="1" applyAlignment="1">
      <alignment horizontal="right" wrapText="1"/>
    </xf>
    <xf numFmtId="3" fontId="20" fillId="15" borderId="0" xfId="0" applyNumberFormat="1" applyFont="1" applyFill="1" applyAlignment="1">
      <alignment horizontal="right" wrapText="1"/>
    </xf>
    <xf numFmtId="49" fontId="20" fillId="15" borderId="0" xfId="0" applyNumberFormat="1" applyFont="1" applyFill="1"/>
    <xf numFmtId="0" fontId="32" fillId="15" borderId="0" xfId="0" applyFont="1" applyFill="1"/>
    <xf numFmtId="43" fontId="20" fillId="15" borderId="0" xfId="0" applyNumberFormat="1" applyFont="1" applyFill="1" applyBorder="1" applyAlignment="1">
      <alignment horizontal="right"/>
    </xf>
    <xf numFmtId="0" fontId="20" fillId="15" borderId="0" xfId="0" applyFont="1" applyFill="1" applyAlignment="1"/>
    <xf numFmtId="187" fontId="23" fillId="15" borderId="0" xfId="0" applyNumberFormat="1" applyFont="1" applyFill="1" applyBorder="1" applyAlignment="1">
      <alignment horizontal="right" wrapText="1"/>
    </xf>
    <xf numFmtId="10" fontId="23" fillId="15" borderId="0" xfId="0" applyNumberFormat="1" applyFont="1" applyFill="1" applyBorder="1" applyAlignment="1">
      <alignment horizontal="right" wrapText="1"/>
    </xf>
    <xf numFmtId="187" fontId="25" fillId="15" borderId="0" xfId="0" applyNumberFormat="1" applyFont="1" applyFill="1" applyBorder="1" applyAlignment="1">
      <alignment horizontal="right"/>
    </xf>
    <xf numFmtId="6" fontId="25" fillId="15" borderId="0" xfId="0" applyNumberFormat="1" applyFont="1" applyFill="1" applyBorder="1" applyAlignment="1">
      <alignment horizontal="right" wrapText="1"/>
    </xf>
    <xf numFmtId="189" fontId="25" fillId="15" borderId="0" xfId="0" applyNumberFormat="1" applyFont="1" applyFill="1" applyAlignment="1">
      <alignment horizontal="right" wrapText="1"/>
    </xf>
    <xf numFmtId="49" fontId="20" fillId="15" borderId="0" xfId="0" applyNumberFormat="1" applyFont="1" applyFill="1" applyBorder="1" applyAlignment="1">
      <alignment horizontal="right"/>
    </xf>
    <xf numFmtId="4" fontId="20" fillId="15" borderId="0" xfId="0" applyNumberFormat="1" applyFont="1" applyFill="1" applyBorder="1" applyAlignment="1">
      <alignment horizontal="right"/>
    </xf>
    <xf numFmtId="0" fontId="23" fillId="15" borderId="0" xfId="0" applyFont="1" applyFill="1"/>
    <xf numFmtId="0" fontId="20" fillId="15" borderId="0" xfId="0" applyFont="1" applyFill="1" applyBorder="1" applyAlignment="1"/>
    <xf numFmtId="0" fontId="25" fillId="15" borderId="0" xfId="0" applyFont="1" applyFill="1" applyBorder="1" applyAlignment="1">
      <alignment horizontal="right"/>
    </xf>
    <xf numFmtId="6" fontId="20" fillId="15" borderId="0" xfId="0" applyNumberFormat="1" applyFont="1" applyFill="1" applyBorder="1" applyAlignment="1"/>
    <xf numFmtId="0" fontId="20" fillId="15" borderId="0" xfId="5" applyFont="1" applyFill="1" applyBorder="1"/>
    <xf numFmtId="0" fontId="20" fillId="15" borderId="0" xfId="5" applyFont="1" applyFill="1"/>
    <xf numFmtId="187" fontId="20" fillId="15" borderId="0" xfId="0" applyNumberFormat="1" applyFont="1" applyFill="1" applyBorder="1" applyAlignment="1">
      <alignment horizontal="right" wrapText="1"/>
    </xf>
    <xf numFmtId="10" fontId="20" fillId="15" borderId="0" xfId="0" applyNumberFormat="1" applyFont="1" applyFill="1" applyBorder="1" applyAlignment="1">
      <alignment horizontal="right" wrapText="1"/>
    </xf>
    <xf numFmtId="189" fontId="20" fillId="15" borderId="0" xfId="0" applyNumberFormat="1" applyFont="1" applyFill="1" applyBorder="1" applyAlignment="1">
      <alignment horizontal="right" wrapText="1"/>
    </xf>
    <xf numFmtId="0" fontId="25" fillId="15" borderId="0" xfId="0" applyFont="1" applyFill="1" applyBorder="1" applyAlignment="1"/>
    <xf numFmtId="0" fontId="20" fillId="15" borderId="0" xfId="0" applyFont="1" applyFill="1" applyBorder="1" applyAlignment="1">
      <alignment horizontal="right"/>
    </xf>
    <xf numFmtId="0" fontId="23" fillId="15" borderId="0" xfId="0" applyFont="1" applyFill="1" applyBorder="1" applyAlignment="1"/>
    <xf numFmtId="0" fontId="25" fillId="15" borderId="0" xfId="0" applyFont="1" applyFill="1" applyBorder="1" applyAlignment="1">
      <alignment wrapText="1"/>
    </xf>
    <xf numFmtId="187" fontId="25" fillId="15" borderId="0" xfId="0" applyNumberFormat="1" applyFont="1" applyFill="1" applyBorder="1" applyAlignment="1">
      <alignment horizontal="right" wrapText="1"/>
    </xf>
    <xf numFmtId="189" fontId="20" fillId="15" borderId="0" xfId="1" applyNumberFormat="1" applyFont="1" applyFill="1" applyAlignment="1">
      <alignment horizontal="right"/>
    </xf>
    <xf numFmtId="189" fontId="20" fillId="15" borderId="7" xfId="1" applyNumberFormat="1" applyFont="1" applyFill="1" applyBorder="1" applyAlignment="1">
      <alignment horizontal="right"/>
    </xf>
    <xf numFmtId="189" fontId="20" fillId="15" borderId="0" xfId="1" applyNumberFormat="1" applyFont="1" applyFill="1" applyBorder="1"/>
    <xf numFmtId="10" fontId="20" fillId="15" borderId="0" xfId="0" applyNumberFormat="1" applyFont="1" applyFill="1" applyBorder="1"/>
    <xf numFmtId="187" fontId="25" fillId="15" borderId="0" xfId="0" applyNumberFormat="1" applyFont="1" applyFill="1" applyAlignment="1">
      <alignment horizontal="right"/>
    </xf>
    <xf numFmtId="4" fontId="20" fillId="15" borderId="0" xfId="7" applyNumberFormat="1" applyFont="1" applyFill="1" applyAlignment="1">
      <alignment horizontal="right"/>
    </xf>
    <xf numFmtId="187" fontId="20" fillId="15" borderId="0" xfId="7" applyNumberFormat="1" applyFont="1" applyFill="1" applyAlignment="1">
      <alignment horizontal="right"/>
    </xf>
    <xf numFmtId="10" fontId="20" fillId="15" borderId="7" xfId="7" applyNumberFormat="1" applyFont="1" applyFill="1" applyBorder="1" applyAlignment="1">
      <alignment horizontal="right"/>
    </xf>
    <xf numFmtId="187" fontId="20" fillId="15" borderId="7" xfId="7" applyNumberFormat="1" applyFont="1" applyFill="1" applyBorder="1" applyAlignment="1">
      <alignment horizontal="right"/>
    </xf>
    <xf numFmtId="187" fontId="20" fillId="15" borderId="0" xfId="1" applyNumberFormat="1" applyFont="1" applyFill="1" applyAlignment="1">
      <alignment horizontal="right"/>
    </xf>
    <xf numFmtId="0" fontId="23" fillId="15" borderId="0" xfId="0" applyFont="1" applyFill="1" applyAlignment="1">
      <alignment horizontal="center" wrapText="1"/>
    </xf>
    <xf numFmtId="43" fontId="20" fillId="15" borderId="7" xfId="0" applyNumberFormat="1" applyFont="1" applyFill="1" applyBorder="1" applyAlignment="1">
      <alignment horizontal="right"/>
    </xf>
    <xf numFmtId="8" fontId="20" fillId="2" borderId="0" xfId="0" applyNumberFormat="1" applyFont="1" applyFill="1" applyBorder="1"/>
    <xf numFmtId="187" fontId="20" fillId="17" borderId="7" xfId="0" applyNumberFormat="1" applyFont="1" applyFill="1" applyBorder="1" applyAlignment="1">
      <alignment horizontal="right"/>
    </xf>
    <xf numFmtId="0" fontId="20" fillId="2" borderId="1" xfId="0" applyFont="1" applyFill="1" applyBorder="1" applyAlignment="1">
      <alignment horizontal="left"/>
    </xf>
    <xf numFmtId="187" fontId="20" fillId="12" borderId="0" xfId="0" applyNumberFormat="1" applyFont="1" applyFill="1" applyBorder="1" applyAlignment="1">
      <alignment horizontal="right"/>
    </xf>
    <xf numFmtId="0" fontId="20" fillId="15" borderId="1" xfId="0" applyFont="1" applyFill="1" applyBorder="1" applyAlignment="1"/>
    <xf numFmtId="0" fontId="20" fillId="15" borderId="15" xfId="0" applyFont="1" applyFill="1" applyBorder="1" applyAlignment="1">
      <alignment horizontal="center" vertical="top"/>
    </xf>
    <xf numFmtId="0" fontId="20" fillId="15" borderId="28" xfId="0" applyFont="1" applyFill="1" applyBorder="1" applyAlignment="1">
      <alignment horizontal="center" vertical="top"/>
    </xf>
    <xf numFmtId="0" fontId="20" fillId="15" borderId="14" xfId="0" applyFont="1" applyFill="1" applyBorder="1" applyAlignment="1">
      <alignment horizontal="center" vertical="top"/>
    </xf>
    <xf numFmtId="0" fontId="23" fillId="2" borderId="28" xfId="0" applyFont="1" applyFill="1" applyBorder="1" applyAlignment="1">
      <alignment horizontal="left" vertical="top" wrapText="1"/>
    </xf>
    <xf numFmtId="0" fontId="23" fillId="2" borderId="15" xfId="0" applyFont="1" applyFill="1" applyBorder="1" applyAlignment="1">
      <alignment horizontal="left" vertical="top" wrapText="1"/>
    </xf>
    <xf numFmtId="0" fontId="40" fillId="2" borderId="2" xfId="0" applyFont="1" applyFill="1" applyBorder="1" applyAlignment="1">
      <alignment horizontal="center"/>
    </xf>
    <xf numFmtId="190" fontId="40" fillId="2" borderId="2" xfId="0" applyNumberFormat="1" applyFont="1" applyFill="1" applyBorder="1" applyAlignment="1">
      <alignment horizontal="center"/>
    </xf>
    <xf numFmtId="172" fontId="29" fillId="18" borderId="16" xfId="6" applyNumberFormat="1" applyFont="1" applyFill="1" applyBorder="1" applyAlignment="1">
      <alignment horizontal="left" vertical="center" wrapText="1"/>
    </xf>
    <xf numFmtId="187" fontId="20" fillId="21" borderId="14" xfId="0" applyNumberFormat="1" applyFont="1" applyFill="1" applyBorder="1" applyAlignment="1">
      <alignment horizontal="left" vertical="center"/>
    </xf>
    <xf numFmtId="4" fontId="20" fillId="2" borderId="14" xfId="1" applyNumberFormat="1" applyFont="1" applyFill="1" applyBorder="1" applyAlignment="1">
      <alignment horizontal="left" vertical="center"/>
    </xf>
    <xf numFmtId="187" fontId="20" fillId="14" borderId="14" xfId="0" applyNumberFormat="1" applyFont="1" applyFill="1" applyBorder="1" applyAlignment="1">
      <alignment horizontal="left" vertical="center"/>
    </xf>
    <xf numFmtId="0" fontId="29" fillId="13" borderId="17" xfId="6" applyFont="1" applyFill="1" applyBorder="1" applyAlignment="1">
      <alignment horizontal="left" vertical="center" wrapText="1"/>
    </xf>
    <xf numFmtId="0" fontId="29" fillId="13" borderId="16" xfId="6" applyFont="1" applyFill="1" applyBorder="1" applyAlignment="1">
      <alignment horizontal="left" vertical="center" wrapText="1"/>
    </xf>
    <xf numFmtId="0" fontId="20" fillId="2" borderId="17" xfId="0" applyFont="1" applyFill="1" applyBorder="1" applyAlignment="1">
      <alignment vertical="center"/>
    </xf>
    <xf numFmtId="165" fontId="20" fillId="15" borderId="7" xfId="1" applyNumberFormat="1" applyFont="1" applyFill="1" applyBorder="1" applyAlignment="1">
      <alignment horizontal="right"/>
    </xf>
    <xf numFmtId="165" fontId="20" fillId="15" borderId="0" xfId="0" applyNumberFormat="1" applyFont="1" applyFill="1" applyAlignment="1">
      <alignment horizontal="right"/>
    </xf>
    <xf numFmtId="165" fontId="1" fillId="0" borderId="45" xfId="5" applyNumberFormat="1" applyBorder="1"/>
    <xf numFmtId="165" fontId="1" fillId="0" borderId="46" xfId="5" applyNumberFormat="1" applyFont="1" applyBorder="1"/>
    <xf numFmtId="165" fontId="1" fillId="0" borderId="46" xfId="5" applyNumberFormat="1" applyBorder="1"/>
    <xf numFmtId="165" fontId="1" fillId="0" borderId="47" xfId="5" applyNumberFormat="1" applyBorder="1"/>
    <xf numFmtId="0" fontId="20" fillId="2" borderId="1" xfId="0" applyFont="1" applyFill="1" applyBorder="1" applyAlignment="1">
      <alignment horizontal="left"/>
    </xf>
    <xf numFmtId="3" fontId="20" fillId="2" borderId="17" xfId="0" applyNumberFormat="1" applyFont="1" applyFill="1" applyBorder="1" applyAlignment="1">
      <alignment horizontal="left" vertical="top" wrapText="1"/>
    </xf>
    <xf numFmtId="3" fontId="20" fillId="2" borderId="6" xfId="0" applyNumberFormat="1" applyFont="1" applyFill="1" applyBorder="1" applyAlignment="1">
      <alignment horizontal="left" vertical="top" wrapText="1"/>
    </xf>
    <xf numFmtId="3" fontId="20" fillId="2" borderId="16" xfId="0" applyNumberFormat="1" applyFont="1" applyFill="1" applyBorder="1" applyAlignment="1">
      <alignment horizontal="left" vertical="top" wrapText="1"/>
    </xf>
    <xf numFmtId="0" fontId="20" fillId="2" borderId="3" xfId="0" applyFont="1" applyFill="1" applyBorder="1" applyAlignment="1">
      <alignment horizontal="left" wrapText="1"/>
    </xf>
    <xf numFmtId="0" fontId="20" fillId="2" borderId="4" xfId="0" applyFont="1" applyFill="1" applyBorder="1" applyAlignment="1">
      <alignment horizontal="left" wrapText="1"/>
    </xf>
    <xf numFmtId="0" fontId="20" fillId="2" borderId="5" xfId="0" applyFont="1" applyFill="1" applyBorder="1" applyAlignment="1">
      <alignment horizontal="left" wrapText="1"/>
    </xf>
    <xf numFmtId="0" fontId="23" fillId="2" borderId="17" xfId="0" applyNumberFormat="1" applyFont="1" applyFill="1" applyBorder="1" applyAlignment="1">
      <alignment vertical="top" wrapText="1"/>
    </xf>
    <xf numFmtId="0" fontId="42" fillId="0" borderId="6" xfId="0" applyFont="1" applyBorder="1" applyAlignment="1">
      <alignment wrapText="1"/>
    </xf>
    <xf numFmtId="0" fontId="42" fillId="0" borderId="16" xfId="0" applyFont="1" applyBorder="1" applyAlignment="1">
      <alignment wrapText="1"/>
    </xf>
    <xf numFmtId="0" fontId="20" fillId="2" borderId="10" xfId="0" applyFont="1" applyFill="1" applyBorder="1" applyAlignment="1">
      <alignment vertical="top" wrapText="1"/>
    </xf>
    <xf numFmtId="0" fontId="20" fillId="2" borderId="11" xfId="0" applyFont="1" applyFill="1" applyBorder="1" applyAlignment="1">
      <alignment vertical="top" wrapText="1"/>
    </xf>
    <xf numFmtId="0" fontId="20" fillId="17" borderId="0" xfId="0" applyFont="1" applyFill="1" applyBorder="1" applyAlignment="1">
      <alignment vertical="top" wrapText="1"/>
    </xf>
    <xf numFmtId="0" fontId="20" fillId="2" borderId="2" xfId="0" applyFont="1" applyFill="1" applyBorder="1" applyAlignment="1">
      <alignment vertical="top" wrapText="1"/>
    </xf>
    <xf numFmtId="0" fontId="20" fillId="2" borderId="4" xfId="0" applyFont="1" applyFill="1" applyBorder="1" applyAlignment="1">
      <alignment vertical="top" wrapText="1"/>
    </xf>
    <xf numFmtId="0" fontId="20" fillId="2" borderId="5" xfId="0" applyFont="1" applyFill="1" applyBorder="1" applyAlignment="1">
      <alignment vertical="top" wrapText="1"/>
    </xf>
    <xf numFmtId="0" fontId="20" fillId="17" borderId="1" xfId="0" applyFont="1" applyFill="1" applyBorder="1" applyAlignment="1">
      <alignment vertical="top" wrapText="1"/>
    </xf>
    <xf numFmtId="0" fontId="20" fillId="2" borderId="0" xfId="0" applyFont="1" applyFill="1" applyAlignment="1">
      <alignment vertical="top" wrapText="1"/>
    </xf>
    <xf numFmtId="3" fontId="20" fillId="2" borderId="1" xfId="0" applyNumberFormat="1" applyFont="1" applyFill="1" applyBorder="1" applyAlignment="1">
      <alignment horizontal="left" wrapText="1"/>
    </xf>
    <xf numFmtId="3" fontId="20" fillId="2" borderId="0" xfId="0" applyNumberFormat="1" applyFont="1" applyFill="1" applyBorder="1" applyAlignment="1">
      <alignment horizontal="left" wrapText="1"/>
    </xf>
    <xf numFmtId="0" fontId="20" fillId="2" borderId="1" xfId="0" applyFont="1" applyFill="1" applyBorder="1" applyAlignment="1">
      <alignment horizontal="left"/>
    </xf>
    <xf numFmtId="0" fontId="20" fillId="2" borderId="0" xfId="0" applyFont="1" applyFill="1" applyBorder="1" applyAlignment="1">
      <alignment horizontal="left"/>
    </xf>
    <xf numFmtId="0" fontId="20" fillId="2" borderId="3" xfId="0" applyFont="1" applyFill="1" applyBorder="1" applyAlignment="1">
      <alignment vertical="top" wrapText="1"/>
    </xf>
    <xf numFmtId="0" fontId="0" fillId="0" borderId="4" xfId="0" applyBorder="1" applyAlignment="1"/>
    <xf numFmtId="0" fontId="0" fillId="0" borderId="5" xfId="0" applyBorder="1" applyAlignment="1"/>
    <xf numFmtId="3" fontId="20" fillId="2" borderId="9" xfId="0" applyNumberFormat="1" applyFont="1" applyFill="1" applyBorder="1" applyAlignment="1">
      <alignment horizontal="left" wrapText="1"/>
    </xf>
    <xf numFmtId="3" fontId="20" fillId="2" borderId="10" xfId="0" applyNumberFormat="1" applyFont="1" applyFill="1" applyBorder="1" applyAlignment="1">
      <alignment horizontal="left" wrapText="1"/>
    </xf>
    <xf numFmtId="0" fontId="20" fillId="17" borderId="1" xfId="5" applyFont="1" applyFill="1" applyBorder="1" applyAlignment="1">
      <alignment horizontal="left"/>
    </xf>
    <xf numFmtId="0" fontId="20" fillId="17" borderId="0" xfId="5" applyFont="1" applyFill="1" applyBorder="1" applyAlignment="1">
      <alignment horizontal="left"/>
    </xf>
    <xf numFmtId="0" fontId="23" fillId="2" borderId="9" xfId="0" applyFont="1" applyFill="1" applyBorder="1" applyAlignment="1">
      <alignment horizontal="left" wrapText="1"/>
    </xf>
    <xf numFmtId="0" fontId="23" fillId="2" borderId="11" xfId="0" applyFont="1" applyFill="1" applyBorder="1" applyAlignment="1">
      <alignment horizontal="left" wrapText="1"/>
    </xf>
    <xf numFmtId="3" fontId="23" fillId="2" borderId="1" xfId="0" applyNumberFormat="1" applyFont="1" applyFill="1" applyBorder="1" applyAlignment="1">
      <alignment horizontal="left" wrapText="1"/>
    </xf>
    <xf numFmtId="3" fontId="23" fillId="2" borderId="0" xfId="0" applyNumberFormat="1" applyFont="1" applyFill="1" applyBorder="1" applyAlignment="1">
      <alignment horizontal="left" wrapText="1"/>
    </xf>
    <xf numFmtId="0" fontId="24" fillId="2" borderId="3" xfId="0" applyNumberFormat="1" applyFont="1" applyFill="1" applyBorder="1" applyAlignment="1">
      <alignment horizontal="left" wrapText="1"/>
    </xf>
    <xf numFmtId="0" fontId="24" fillId="2" borderId="4" xfId="0" applyNumberFormat="1" applyFont="1" applyFill="1" applyBorder="1" applyAlignment="1">
      <alignment horizontal="left" wrapText="1"/>
    </xf>
    <xf numFmtId="0" fontId="26" fillId="17" borderId="0" xfId="0" applyFont="1" applyFill="1" applyBorder="1" applyAlignment="1">
      <alignment horizontal="right" vertical="top" wrapText="1"/>
    </xf>
    <xf numFmtId="3" fontId="23" fillId="2" borderId="17" xfId="0" applyNumberFormat="1" applyFont="1" applyFill="1" applyBorder="1" applyAlignment="1">
      <alignment vertical="top" wrapText="1"/>
    </xf>
    <xf numFmtId="0" fontId="0" fillId="0" borderId="6" xfId="0" applyBorder="1" applyAlignment="1">
      <alignment vertical="top"/>
    </xf>
    <xf numFmtId="0" fontId="0" fillId="0" borderId="16" xfId="0" applyBorder="1" applyAlignment="1">
      <alignment vertical="top"/>
    </xf>
    <xf numFmtId="0" fontId="23" fillId="0" borderId="17" xfId="0" applyFont="1" applyFill="1" applyBorder="1" applyAlignment="1">
      <alignment vertical="top" wrapText="1"/>
    </xf>
    <xf numFmtId="0" fontId="0" fillId="0" borderId="16" xfId="0" applyBorder="1" applyAlignment="1">
      <alignment vertical="top" wrapText="1"/>
    </xf>
    <xf numFmtId="0" fontId="23" fillId="2" borderId="9" xfId="0" applyFont="1" applyFill="1" applyBorder="1" applyAlignment="1">
      <alignment vertical="top" wrapText="1"/>
    </xf>
    <xf numFmtId="0" fontId="0" fillId="0" borderId="11" xfId="0" applyBorder="1" applyAlignment="1">
      <alignment wrapText="1"/>
    </xf>
    <xf numFmtId="0" fontId="0" fillId="0" borderId="1" xfId="0" applyBorder="1" applyAlignment="1">
      <alignment wrapText="1"/>
    </xf>
    <xf numFmtId="0" fontId="0" fillId="0" borderId="2" xfId="0" applyBorder="1" applyAlignment="1">
      <alignment wrapText="1"/>
    </xf>
    <xf numFmtId="0" fontId="0" fillId="0" borderId="3" xfId="0" applyBorder="1" applyAlignment="1">
      <alignment wrapText="1"/>
    </xf>
    <xf numFmtId="0" fontId="0" fillId="0" borderId="5" xfId="0" applyBorder="1" applyAlignment="1">
      <alignment wrapText="1"/>
    </xf>
    <xf numFmtId="165" fontId="20" fillId="17" borderId="9" xfId="0" applyNumberFormat="1" applyFont="1" applyFill="1" applyBorder="1" applyAlignment="1">
      <alignment horizontal="right"/>
    </xf>
    <xf numFmtId="165" fontId="20" fillId="17" borderId="11" xfId="0" applyNumberFormat="1" applyFont="1" applyFill="1" applyBorder="1" applyAlignment="1">
      <alignment horizontal="right"/>
    </xf>
    <xf numFmtId="0" fontId="20" fillId="2" borderId="4" xfId="0" applyFont="1" applyFill="1" applyBorder="1" applyAlignment="1">
      <alignment vertical="top"/>
    </xf>
    <xf numFmtId="0" fontId="20" fillId="2" borderId="5" xfId="0" applyFont="1" applyFill="1" applyBorder="1" applyAlignment="1">
      <alignment vertical="top"/>
    </xf>
    <xf numFmtId="0" fontId="20" fillId="17" borderId="1" xfId="0" applyFont="1" applyFill="1" applyBorder="1" applyAlignment="1">
      <alignment horizontal="left"/>
    </xf>
    <xf numFmtId="0" fontId="20" fillId="17" borderId="0" xfId="0" applyFont="1" applyFill="1" applyBorder="1" applyAlignment="1">
      <alignment horizontal="left"/>
    </xf>
    <xf numFmtId="0" fontId="23" fillId="2" borderId="17" xfId="0" applyFont="1" applyFill="1" applyBorder="1" applyAlignment="1">
      <alignment horizontal="right" vertical="top" wrapText="1"/>
    </xf>
    <xf numFmtId="0" fontId="20" fillId="0" borderId="16" xfId="0" applyFont="1" applyBorder="1" applyAlignment="1">
      <alignment horizontal="right"/>
    </xf>
    <xf numFmtId="10" fontId="20" fillId="17" borderId="1" xfId="7" applyNumberFormat="1" applyFont="1" applyFill="1" applyBorder="1" applyAlignment="1">
      <alignment horizontal="right"/>
    </xf>
    <xf numFmtId="10" fontId="20" fillId="17" borderId="2" xfId="7" applyNumberFormat="1" applyFont="1" applyFill="1" applyBorder="1" applyAlignment="1">
      <alignment horizontal="right"/>
    </xf>
    <xf numFmtId="0" fontId="20" fillId="2" borderId="28" xfId="0" applyFont="1" applyFill="1" applyBorder="1" applyAlignment="1">
      <alignment vertical="center"/>
    </xf>
    <xf numFmtId="0" fontId="20" fillId="2" borderId="38" xfId="0" applyFont="1" applyFill="1" applyBorder="1" applyAlignment="1">
      <alignment vertical="center"/>
    </xf>
    <xf numFmtId="0" fontId="20" fillId="2" borderId="15" xfId="0" applyFont="1" applyFill="1" applyBorder="1" applyAlignment="1">
      <alignment vertical="center"/>
    </xf>
    <xf numFmtId="10" fontId="20" fillId="17" borderId="3" xfId="0" applyNumberFormat="1" applyFont="1" applyFill="1" applyBorder="1" applyAlignment="1">
      <alignment horizontal="right"/>
    </xf>
    <xf numFmtId="10" fontId="20" fillId="17" borderId="5" xfId="0" applyNumberFormat="1" applyFont="1" applyFill="1" applyBorder="1" applyAlignment="1">
      <alignment horizontal="right"/>
    </xf>
    <xf numFmtId="165" fontId="20" fillId="2" borderId="9" xfId="0" applyNumberFormat="1" applyFont="1" applyFill="1" applyBorder="1" applyAlignment="1">
      <alignment horizontal="right"/>
    </xf>
    <xf numFmtId="0" fontId="20" fillId="0" borderId="11" xfId="0" applyFont="1" applyBorder="1" applyAlignment="1"/>
    <xf numFmtId="0" fontId="20" fillId="0" borderId="0" xfId="0" applyFont="1" applyBorder="1" applyAlignment="1">
      <alignment vertical="top"/>
    </xf>
    <xf numFmtId="0" fontId="20" fillId="0" borderId="2" xfId="0" applyFont="1" applyBorder="1" applyAlignment="1">
      <alignment vertical="top"/>
    </xf>
    <xf numFmtId="0" fontId="20" fillId="17" borderId="5" xfId="0" applyFont="1" applyFill="1" applyBorder="1" applyAlignment="1"/>
    <xf numFmtId="0" fontId="20" fillId="0" borderId="6" xfId="0" applyFont="1" applyBorder="1" applyAlignment="1">
      <alignment wrapText="1"/>
    </xf>
    <xf numFmtId="0" fontId="20" fillId="0" borderId="16" xfId="0" applyFont="1" applyBorder="1" applyAlignment="1">
      <alignment wrapText="1"/>
    </xf>
    <xf numFmtId="0" fontId="20" fillId="17" borderId="11" xfId="0" applyFont="1" applyFill="1" applyBorder="1" applyAlignment="1"/>
    <xf numFmtId="10" fontId="20" fillId="17" borderId="2" xfId="0" applyNumberFormat="1" applyFont="1" applyFill="1" applyBorder="1" applyAlignment="1"/>
    <xf numFmtId="0" fontId="20" fillId="0" borderId="4" xfId="0" applyFont="1" applyBorder="1" applyAlignment="1">
      <alignment vertical="top"/>
    </xf>
    <xf numFmtId="0" fontId="20" fillId="0" borderId="5" xfId="0" applyFont="1" applyBorder="1" applyAlignment="1">
      <alignment vertical="top"/>
    </xf>
    <xf numFmtId="187" fontId="20" fillId="15" borderId="0" xfId="0" applyNumberFormat="1" applyFont="1" applyFill="1" applyBorder="1" applyAlignment="1">
      <alignment horizontal="left" vertical="top" wrapText="1"/>
    </xf>
    <xf numFmtId="0" fontId="20" fillId="15" borderId="0" xfId="0" applyFont="1" applyFill="1" applyBorder="1" applyAlignment="1">
      <alignment horizontal="left" vertical="top" wrapText="1"/>
    </xf>
    <xf numFmtId="0" fontId="20" fillId="15" borderId="2" xfId="0" applyFont="1" applyFill="1" applyBorder="1" applyAlignment="1">
      <alignment horizontal="left" vertical="top" wrapText="1"/>
    </xf>
    <xf numFmtId="187" fontId="20" fillId="2" borderId="0" xfId="0" applyNumberFormat="1" applyFont="1" applyFill="1" applyBorder="1" applyAlignment="1">
      <alignment horizontal="left" vertical="top" wrapText="1"/>
    </xf>
    <xf numFmtId="0" fontId="20" fillId="0" borderId="0" xfId="0" applyFont="1" applyBorder="1" applyAlignment="1">
      <alignment horizontal="left" vertical="top" wrapText="1"/>
    </xf>
    <xf numFmtId="0" fontId="20" fillId="0" borderId="2" xfId="0" applyFont="1" applyBorder="1" applyAlignment="1">
      <alignment horizontal="left" vertical="top" wrapText="1"/>
    </xf>
    <xf numFmtId="0" fontId="20" fillId="0" borderId="0" xfId="0" applyFont="1" applyBorder="1" applyAlignment="1">
      <alignment horizontal="left" vertical="top"/>
    </xf>
    <xf numFmtId="0" fontId="20" fillId="0" borderId="2" xfId="0" applyFont="1" applyBorder="1" applyAlignment="1">
      <alignment horizontal="left" vertical="top"/>
    </xf>
    <xf numFmtId="187" fontId="20" fillId="2" borderId="10" xfId="0" applyNumberFormat="1" applyFont="1" applyFill="1" applyBorder="1" applyAlignment="1">
      <alignment horizontal="left" vertical="top" wrapText="1"/>
    </xf>
    <xf numFmtId="0" fontId="20" fillId="0" borderId="10" xfId="0" applyFont="1" applyBorder="1" applyAlignment="1">
      <alignment horizontal="left" vertical="top" wrapText="1"/>
    </xf>
    <xf numFmtId="0" fontId="20" fillId="0" borderId="10" xfId="0" applyFont="1" applyBorder="1" applyAlignment="1">
      <alignment vertical="top"/>
    </xf>
    <xf numFmtId="0" fontId="20" fillId="0" borderId="11" xfId="0" applyFont="1" applyBorder="1" applyAlignment="1">
      <alignment vertical="top"/>
    </xf>
    <xf numFmtId="0" fontId="23" fillId="0" borderId="17" xfId="0" applyFont="1" applyBorder="1" applyAlignment="1">
      <alignment horizontal="left" vertical="top" wrapText="1"/>
    </xf>
    <xf numFmtId="0" fontId="23" fillId="0" borderId="6" xfId="0" applyFont="1" applyBorder="1" applyAlignment="1">
      <alignment horizontal="left" vertical="top" wrapText="1"/>
    </xf>
    <xf numFmtId="0" fontId="20" fillId="0" borderId="6" xfId="0" applyFont="1" applyBorder="1" applyAlignment="1"/>
    <xf numFmtId="0" fontId="20" fillId="0" borderId="16" xfId="0" applyFont="1" applyBorder="1" applyAlignment="1"/>
    <xf numFmtId="0" fontId="20" fillId="0" borderId="17" xfId="0" applyFont="1" applyBorder="1" applyAlignment="1">
      <alignment horizontal="left" vertical="top" wrapText="1"/>
    </xf>
    <xf numFmtId="0" fontId="20" fillId="0" borderId="6" xfId="0" applyFont="1" applyBorder="1" applyAlignment="1">
      <alignment horizontal="left" vertical="top" wrapText="1"/>
    </xf>
    <xf numFmtId="0" fontId="20" fillId="0" borderId="16" xfId="0" applyFont="1" applyBorder="1" applyAlignment="1">
      <alignment horizontal="left" vertical="top" wrapText="1"/>
    </xf>
    <xf numFmtId="0" fontId="20" fillId="2" borderId="9" xfId="0" applyFont="1" applyFill="1" applyBorder="1" applyAlignment="1">
      <alignment horizontal="left" vertical="top" wrapText="1"/>
    </xf>
    <xf numFmtId="0" fontId="20" fillId="2" borderId="11" xfId="0" applyFont="1" applyFill="1" applyBorder="1" applyAlignment="1">
      <alignment horizontal="left" vertical="top" wrapText="1"/>
    </xf>
    <xf numFmtId="0" fontId="20" fillId="0" borderId="1" xfId="0" applyFont="1" applyBorder="1" applyAlignment="1">
      <alignment vertical="top"/>
    </xf>
    <xf numFmtId="0" fontId="20" fillId="0" borderId="3" xfId="0" applyFont="1" applyBorder="1" applyAlignment="1">
      <alignment vertical="top"/>
    </xf>
    <xf numFmtId="0" fontId="20" fillId="17" borderId="1" xfId="0" applyFont="1" applyFill="1" applyBorder="1" applyAlignment="1">
      <alignment horizontal="left" vertical="top" wrapText="1"/>
    </xf>
    <xf numFmtId="0" fontId="20" fillId="2" borderId="2" xfId="0" applyFont="1" applyFill="1" applyBorder="1" applyAlignment="1">
      <alignment horizontal="left" vertical="top" wrapText="1"/>
    </xf>
    <xf numFmtId="0" fontId="20" fillId="2" borderId="3" xfId="0" applyFont="1" applyFill="1" applyBorder="1" applyAlignment="1">
      <alignment horizontal="left" vertical="top" wrapText="1"/>
    </xf>
    <xf numFmtId="0" fontId="20" fillId="2" borderId="5" xfId="0" applyFont="1" applyFill="1" applyBorder="1" applyAlignment="1">
      <alignment horizontal="left" vertical="top" wrapText="1"/>
    </xf>
    <xf numFmtId="0" fontId="20" fillId="15" borderId="1" xfId="0" applyFont="1" applyFill="1" applyBorder="1" applyAlignment="1">
      <alignment horizontal="left" vertical="top" wrapText="1"/>
    </xf>
    <xf numFmtId="0" fontId="20" fillId="15" borderId="3" xfId="0" applyFont="1" applyFill="1" applyBorder="1" applyAlignment="1">
      <alignment horizontal="left" vertical="top" wrapText="1"/>
    </xf>
    <xf numFmtId="0" fontId="20" fillId="15" borderId="4" xfId="0" applyFont="1" applyFill="1" applyBorder="1" applyAlignment="1">
      <alignment horizontal="left" vertical="top" wrapText="1"/>
    </xf>
    <xf numFmtId="0" fontId="20" fillId="15" borderId="5" xfId="0" applyFont="1" applyFill="1" applyBorder="1" applyAlignment="1">
      <alignment horizontal="left" vertical="top" wrapText="1"/>
    </xf>
    <xf numFmtId="0" fontId="20" fillId="15" borderId="9" xfId="0" applyNumberFormat="1" applyFont="1" applyFill="1" applyBorder="1" applyAlignment="1">
      <alignment vertical="top" wrapText="1"/>
    </xf>
    <xf numFmtId="0" fontId="20" fillId="15" borderId="10" xfId="0" applyFont="1" applyFill="1" applyBorder="1" applyAlignment="1"/>
    <xf numFmtId="0" fontId="20" fillId="15" borderId="11" xfId="0" applyFont="1" applyFill="1" applyBorder="1" applyAlignment="1"/>
    <xf numFmtId="0" fontId="20" fillId="15" borderId="9" xfId="0" applyFont="1" applyFill="1" applyBorder="1" applyAlignment="1">
      <alignment vertical="top"/>
    </xf>
    <xf numFmtId="0" fontId="20" fillId="15" borderId="1" xfId="0" applyFont="1" applyFill="1" applyBorder="1" applyAlignment="1">
      <alignment vertical="top"/>
    </xf>
    <xf numFmtId="0" fontId="20" fillId="15" borderId="38" xfId="0" applyFont="1" applyFill="1" applyBorder="1" applyAlignment="1">
      <alignment vertical="top"/>
    </xf>
    <xf numFmtId="0" fontId="20" fillId="15" borderId="15" xfId="0" applyFont="1" applyFill="1" applyBorder="1" applyAlignment="1">
      <alignment vertical="top"/>
    </xf>
    <xf numFmtId="0" fontId="23" fillId="15" borderId="17" xfId="0" applyNumberFormat="1" applyFont="1" applyFill="1" applyBorder="1" applyAlignment="1">
      <alignment vertical="top" wrapText="1"/>
    </xf>
    <xf numFmtId="0" fontId="20" fillId="15" borderId="6" xfId="0" applyFont="1" applyFill="1" applyBorder="1" applyAlignment="1">
      <alignment vertical="top" wrapText="1"/>
    </xf>
    <xf numFmtId="0" fontId="20" fillId="15" borderId="16" xfId="0" applyFont="1" applyFill="1" applyBorder="1" applyAlignment="1">
      <alignment vertical="top" wrapText="1"/>
    </xf>
    <xf numFmtId="0" fontId="23" fillId="15" borderId="17" xfId="0" applyFont="1" applyFill="1" applyBorder="1" applyAlignment="1">
      <alignment vertical="top" wrapText="1"/>
    </xf>
    <xf numFmtId="0" fontId="20" fillId="15" borderId="9" xfId="0" applyFont="1" applyFill="1" applyBorder="1" applyAlignment="1">
      <alignment horizontal="left" vertical="top" wrapText="1"/>
    </xf>
    <xf numFmtId="0" fontId="20" fillId="15" borderId="10" xfId="0" applyFont="1" applyFill="1" applyBorder="1"/>
    <xf numFmtId="0" fontId="20" fillId="15" borderId="11" xfId="0" applyFont="1" applyFill="1" applyBorder="1"/>
    <xf numFmtId="0" fontId="20" fillId="15" borderId="3" xfId="0" applyNumberFormat="1" applyFont="1" applyFill="1" applyBorder="1" applyAlignment="1">
      <alignment vertical="top" wrapText="1"/>
    </xf>
    <xf numFmtId="0" fontId="20" fillId="15" borderId="4" xfId="0" applyFont="1" applyFill="1" applyBorder="1" applyAlignment="1"/>
    <xf numFmtId="0" fontId="20" fillId="15" borderId="5" xfId="0" applyFont="1" applyFill="1" applyBorder="1" applyAlignment="1"/>
    <xf numFmtId="0" fontId="20" fillId="2" borderId="14" xfId="0" applyFont="1" applyFill="1" applyBorder="1" applyAlignment="1">
      <alignment vertical="top" wrapText="1"/>
    </xf>
    <xf numFmtId="0" fontId="20" fillId="2" borderId="17" xfId="0" applyFont="1" applyFill="1" applyBorder="1" applyAlignment="1">
      <alignment vertical="top" wrapText="1"/>
    </xf>
    <xf numFmtId="0" fontId="20" fillId="2" borderId="17" xfId="0" applyFont="1" applyFill="1" applyBorder="1" applyAlignment="1">
      <alignment horizontal="left" vertical="top" wrapText="1"/>
    </xf>
    <xf numFmtId="0" fontId="20" fillId="0" borderId="17" xfId="0" applyFont="1" applyBorder="1" applyAlignment="1">
      <alignment vertical="top" wrapText="1"/>
    </xf>
    <xf numFmtId="0" fontId="20" fillId="0" borderId="16" xfId="0" applyFont="1" applyBorder="1" applyAlignment="1">
      <alignment vertical="top" wrapText="1"/>
    </xf>
    <xf numFmtId="0" fontId="23" fillId="2" borderId="17" xfId="0" applyFont="1" applyFill="1" applyBorder="1" applyAlignment="1">
      <alignment horizontal="left" vertical="top" wrapText="1"/>
    </xf>
    <xf numFmtId="0" fontId="20" fillId="2" borderId="6" xfId="0" applyFont="1" applyFill="1" applyBorder="1" applyAlignment="1"/>
    <xf numFmtId="0" fontId="20" fillId="2" borderId="16" xfId="0" applyFont="1" applyFill="1" applyBorder="1" applyAlignment="1"/>
    <xf numFmtId="0" fontId="20" fillId="0" borderId="0" xfId="0" applyFont="1" applyAlignment="1"/>
    <xf numFmtId="0" fontId="20" fillId="0" borderId="2" xfId="0" applyFont="1" applyBorder="1" applyAlignment="1"/>
    <xf numFmtId="0" fontId="20" fillId="0" borderId="1" xfId="0" applyFont="1" applyBorder="1" applyAlignment="1"/>
    <xf numFmtId="0" fontId="20" fillId="0" borderId="3" xfId="0" applyFont="1" applyBorder="1" applyAlignment="1"/>
    <xf numFmtId="0" fontId="20" fillId="0" borderId="4" xfId="0" applyFont="1" applyBorder="1" applyAlignment="1"/>
    <xf numFmtId="0" fontId="20" fillId="0" borderId="5" xfId="0" applyFont="1" applyBorder="1" applyAlignment="1"/>
    <xf numFmtId="187" fontId="23" fillId="17" borderId="0" xfId="0" applyNumberFormat="1" applyFont="1" applyFill="1" applyAlignment="1">
      <alignment horizontal="right"/>
    </xf>
    <xf numFmtId="0" fontId="20" fillId="17" borderId="0" xfId="0" applyFont="1" applyFill="1" applyAlignment="1">
      <alignment horizontal="right"/>
    </xf>
    <xf numFmtId="0" fontId="20" fillId="2" borderId="9" xfId="0" applyFont="1" applyFill="1" applyBorder="1" applyAlignment="1">
      <alignment vertical="top" wrapText="1"/>
    </xf>
    <xf numFmtId="0" fontId="20" fillId="2" borderId="10" xfId="0" applyFont="1" applyFill="1" applyBorder="1" applyAlignment="1">
      <alignment vertical="top"/>
    </xf>
    <xf numFmtId="0" fontId="20" fillId="2" borderId="11" xfId="0" applyFont="1" applyFill="1" applyBorder="1" applyAlignment="1">
      <alignment vertical="top"/>
    </xf>
    <xf numFmtId="0" fontId="20" fillId="17" borderId="1" xfId="0" applyFont="1" applyFill="1" applyBorder="1" applyAlignment="1">
      <alignment vertical="top"/>
    </xf>
    <xf numFmtId="0" fontId="20" fillId="17" borderId="0" xfId="0" applyFont="1" applyFill="1" applyBorder="1" applyAlignment="1">
      <alignment vertical="top"/>
    </xf>
    <xf numFmtId="0" fontId="20" fillId="2" borderId="2" xfId="0" applyFont="1" applyFill="1" applyBorder="1" applyAlignment="1">
      <alignment vertical="top"/>
    </xf>
    <xf numFmtId="187" fontId="20" fillId="2" borderId="3" xfId="0" applyNumberFormat="1" applyFont="1" applyFill="1" applyBorder="1" applyAlignment="1">
      <alignment horizontal="left" vertical="top" wrapText="1"/>
    </xf>
    <xf numFmtId="0" fontId="20" fillId="0" borderId="4" xfId="0" applyFont="1" applyBorder="1" applyAlignment="1">
      <alignment vertical="top" wrapText="1"/>
    </xf>
    <xf numFmtId="0" fontId="20" fillId="0" borderId="5" xfId="0" applyFont="1" applyBorder="1" applyAlignment="1">
      <alignment vertical="top" wrapText="1"/>
    </xf>
    <xf numFmtId="0" fontId="23" fillId="2" borderId="17" xfId="0" applyFont="1" applyFill="1" applyBorder="1" applyAlignment="1">
      <alignment horizontal="justify" vertical="top" wrapText="1"/>
    </xf>
    <xf numFmtId="0" fontId="20" fillId="0" borderId="6" xfId="0" applyFont="1" applyBorder="1" applyAlignment="1">
      <alignment vertical="top" wrapText="1"/>
    </xf>
    <xf numFmtId="0" fontId="23" fillId="2" borderId="9" xfId="0" applyFont="1" applyFill="1" applyBorder="1" applyAlignment="1">
      <alignment horizontal="justify" vertical="top"/>
    </xf>
    <xf numFmtId="10" fontId="20" fillId="2" borderId="1" xfId="7" applyNumberFormat="1" applyFont="1" applyFill="1" applyBorder="1" applyAlignment="1">
      <alignment horizontal="right"/>
    </xf>
    <xf numFmtId="0" fontId="8" fillId="0" borderId="29" xfId="3" applyFont="1" applyBorder="1" applyAlignment="1" applyProtection="1">
      <alignment horizontal="center" wrapText="1"/>
    </xf>
    <xf numFmtId="0" fontId="0" fillId="0" borderId="30" xfId="0" applyBorder="1" applyAlignment="1">
      <alignment horizontal="center"/>
    </xf>
    <xf numFmtId="0" fontId="0" fillId="0" borderId="31" xfId="0" applyBorder="1" applyAlignment="1">
      <alignment horizontal="center"/>
    </xf>
    <xf numFmtId="0" fontId="0" fillId="0" borderId="13" xfId="0" applyBorder="1" applyAlignment="1">
      <alignment horizontal="center"/>
    </xf>
    <xf numFmtId="0" fontId="0" fillId="0" borderId="0" xfId="0" applyBorder="1" applyAlignment="1">
      <alignment horizontal="center"/>
    </xf>
    <xf numFmtId="0" fontId="0" fillId="0" borderId="36" xfId="0" applyBorder="1" applyAlignment="1">
      <alignment horizontal="center"/>
    </xf>
    <xf numFmtId="0" fontId="0" fillId="0" borderId="33" xfId="0" applyBorder="1" applyAlignment="1">
      <alignment horizontal="center"/>
    </xf>
    <xf numFmtId="0" fontId="0" fillId="0" borderId="34" xfId="0" applyBorder="1" applyAlignment="1">
      <alignment horizontal="center"/>
    </xf>
    <xf numFmtId="0" fontId="0" fillId="0" borderId="37" xfId="0" applyBorder="1" applyAlignment="1">
      <alignment horizontal="center"/>
    </xf>
    <xf numFmtId="0" fontId="19" fillId="10" borderId="0" xfId="0" applyFont="1" applyFill="1" applyBorder="1" applyAlignment="1">
      <alignment horizontal="right"/>
    </xf>
    <xf numFmtId="0" fontId="20" fillId="10" borderId="0" xfId="0" applyFont="1" applyFill="1" applyBorder="1"/>
    <xf numFmtId="0" fontId="19" fillId="10" borderId="0" xfId="0" applyFont="1" applyFill="1" applyBorder="1"/>
    <xf numFmtId="1" fontId="20" fillId="10" borderId="0" xfId="0" applyNumberFormat="1" applyFont="1" applyFill="1" applyBorder="1" applyAlignment="1">
      <alignment horizontal="right"/>
    </xf>
    <xf numFmtId="49" fontId="20" fillId="10" borderId="0" xfId="0" applyNumberFormat="1" applyFont="1" applyFill="1" applyBorder="1" applyAlignment="1">
      <alignment horizontal="right"/>
    </xf>
    <xf numFmtId="43" fontId="20" fillId="10" borderId="0" xfId="1" applyFont="1" applyFill="1" applyBorder="1"/>
    <xf numFmtId="181" fontId="20" fillId="10" borderId="0" xfId="0" applyNumberFormat="1" applyFont="1" applyFill="1" applyBorder="1"/>
    <xf numFmtId="0" fontId="20" fillId="10" borderId="0" xfId="0" applyFont="1" applyFill="1" applyBorder="1" applyAlignment="1">
      <alignment horizontal="center"/>
    </xf>
    <xf numFmtId="0" fontId="23" fillId="10" borderId="0" xfId="0" applyFont="1" applyFill="1" applyBorder="1"/>
    <xf numFmtId="4" fontId="20" fillId="10" borderId="0" xfId="0" applyNumberFormat="1" applyFont="1" applyFill="1" applyBorder="1"/>
  </cellXfs>
  <cellStyles count="8">
    <cellStyle name="Comma" xfId="1" builtinId="3"/>
    <cellStyle name="Euro" xfId="2"/>
    <cellStyle name="Hyperlink" xfId="3" builtinId="8"/>
    <cellStyle name="Normal" xfId="0" builtinId="0"/>
    <cellStyle name="Normal_GMF 07-1 Amortisation schedule info " xfId="4"/>
    <cellStyle name="Normal_GMF Final Am Scehdules" xfId="5"/>
    <cellStyle name="Normal_wires C10" xfId="6"/>
    <cellStyle name="Percent" xfId="7" builtinId="5"/>
  </cellStyles>
  <dxfs count="2">
    <dxf>
      <numFmt numFmtId="35" formatCode="_-* #,##0.00_-;\-* #,##0.00_-;_-* &quot;-&quot;??_-;_-@_-"/>
    </dxf>
    <dxf>
      <numFmt numFmtId="35" formatCode="_-* #,##0.00_-;\-* #,##0.00_-;_-* &quot;-&quot;??_-;_-@_-"/>
    </dxf>
  </dxfs>
  <tableStyles count="0" defaultTableStyle="TableStyleMedium9" defaultPivotStyle="PivotStyleLight16"/>
  <colors>
    <mruColors>
      <color rgb="FFFFFF99"/>
      <color rgb="FFCCFFCC"/>
      <color rgb="FFFFCC99"/>
      <color rgb="FFCCCCFF"/>
      <color rgb="FFD5D5FF"/>
      <color rgb="FF99CCFF"/>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apital%20Planning/Capital%20Issuance/Securitisation/Servicing/COVERED%20BONDS/2011/Distribution%20161111/LEO161111%20v1_0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apital%20Planning/Capital%20Issuance/Securitisation/Servicing/GMF/GMF%202007-1/CalcPeriodAugSeptOct11%20-%20IPD201111/Trust%20Distribution%20190911/GMF%2006-1%20Trust%20Wtrfalls%20TD19091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apital%20Planning/Capital%20Issuance/Securitisation/Servicing/GMF/GMF%202007-1/CalcPeriodMayJunJul11-IPD200811/Trust%20Distribution%20190811/GMF%2006-1%20Trust%20Wtrfalls%20TD19081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Capital%20Planning/Capital%20Issuance/Securitisation/Servicing/GMF/GMF%202007-1/CalcPeriodNovDecJan11-IPD200211/Trust%20Distribution%20190211/GMF%2006-1%20Trust%20Wtrfalls%20TD19021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Capital%20Planning/Capital%20Issuance/Securitisation/Servicing/GMF/GMF%202007-1/CalcPeriodMayJunJul11-IPD200811/Trust%20Distribution%20190711/GMF%2006-1%20Trust%20Wtrfalls%20TD19071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Capital%20Planning/Capital%20Issuance/Securitisation/Servicing/GMF/GMF%202007-1/CalcPeriodMayJunJul11-IPD200811/Trust%20Distribution%20190611/GMF%2006-1%20Trust%20Wtrfalls%20TD19061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Capital%20Planning/Capital%20Issuance/Securitisation/Servicing/GMF/GMF%202007-1/CalcPeriodFebMarApr11-IPD200511/IPD%20May%202011/GMF%20MT%20Funding%20Waterfall%20May%201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ACTIONS"/>
      <sheetName val="CB Flow Diagram"/>
      <sheetName val="Available receipts"/>
      <sheetName val="Swap Bookings"/>
      <sheetName val="Ongoing expenses"/>
      <sheetName val="16th Monthly Flows "/>
      <sheetName val="Strats"/>
      <sheetName val="D&amp;I Originals"/>
      <sheetName val="D&amp;I Inputs"/>
      <sheetName val="Hidden"/>
      <sheetName val="Pool Balance Reconciliation"/>
      <sheetName val="D&amp;I Cash Flows"/>
      <sheetName val="Weighted Calcs"/>
      <sheetName val="Report"/>
      <sheetName val="Initial Expenses"/>
      <sheetName val=" ledgers"/>
      <sheetName val="New Report"/>
      <sheetName val="WA Rem Term CB Calc"/>
      <sheetName val="Report Inputs"/>
      <sheetName val="CB Compliance Tests"/>
      <sheetName val="Asset Pool Template p1"/>
      <sheetName val="Asset Pool Template p2"/>
      <sheetName val="Asset Pool Template p3"/>
      <sheetName val="Asset Pool Template p4"/>
      <sheetName val="Asset Pool Template p5"/>
      <sheetName val="Congadale Profit"/>
      <sheetName val="New Issuance - Procedures"/>
      <sheetName val="Mortgage Default Test"/>
    </sheetNames>
    <sheetDataSet>
      <sheetData sheetId="0"/>
      <sheetData sheetId="1"/>
      <sheetData sheetId="2">
        <row r="70">
          <cell r="C70">
            <v>243314195.7199991</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onthly tasks priority"/>
      <sheetName val="Monthly Report"/>
      <sheetName val="Litigation"/>
      <sheetName val="Weighted Calcs"/>
      <sheetName val="Strats"/>
      <sheetName val="Data&amp;Infr Inputs"/>
      <sheetName val="Inputs"/>
      <sheetName val="SharecCalc"/>
      <sheetName val="Trust Waterfalls"/>
      <sheetName val="Trust Wires"/>
      <sheetName val="MTCMA Notice"/>
      <sheetName val="Notice Schedule 1"/>
      <sheetName val="Notice Contact List"/>
      <sheetName val="New Loans Additions"/>
      <sheetName val="HFipd feb 07"/>
      <sheetName val="GMPIPD MAY07"/>
    </sheetNames>
    <sheetDataSet>
      <sheetData sheetId="0" refreshError="1"/>
      <sheetData sheetId="1" refreshError="1">
        <row r="44">
          <cell r="C44">
            <v>2.0838000000000002E-2</v>
          </cell>
        </row>
        <row r="45">
          <cell r="C45">
            <v>235.28</v>
          </cell>
        </row>
        <row r="46">
          <cell r="C46">
            <v>0.56400399999999995</v>
          </cell>
        </row>
        <row r="47">
          <cell r="C47">
            <v>0.516517</v>
          </cell>
        </row>
        <row r="48">
          <cell r="C48">
            <v>0.58513899999999996</v>
          </cell>
        </row>
        <row r="49">
          <cell r="C49">
            <v>0.58210720000000005</v>
          </cell>
        </row>
        <row r="52">
          <cell r="C52">
            <v>50.67</v>
          </cell>
        </row>
        <row r="53">
          <cell r="C53">
            <v>15.552899999999999</v>
          </cell>
        </row>
      </sheetData>
      <sheetData sheetId="2" refreshError="1"/>
      <sheetData sheetId="3" refreshError="1"/>
      <sheetData sheetId="4" refreshError="1"/>
      <sheetData sheetId="5" refreshError="1"/>
      <sheetData sheetId="6" refreshError="1"/>
      <sheetData sheetId="7" refreshError="1">
        <row r="25">
          <cell r="B25">
            <v>4617826371.8599997</v>
          </cell>
        </row>
        <row r="46">
          <cell r="B46">
            <v>4504945849.29</v>
          </cell>
        </row>
        <row r="76">
          <cell r="B76">
            <v>9122772321.1499996</v>
          </cell>
        </row>
        <row r="77">
          <cell r="B77">
            <v>0.50618669999999999</v>
          </cell>
        </row>
        <row r="81">
          <cell r="B81">
            <v>0</v>
          </cell>
        </row>
        <row r="85">
          <cell r="B85">
            <v>0.49381330000000001</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onthly tasks priority"/>
      <sheetName val="Monthly Report"/>
      <sheetName val="Litigation"/>
      <sheetName val="Weighted Calcs"/>
      <sheetName val="Strats"/>
      <sheetName val="Data&amp;Infr Inputs"/>
      <sheetName val="Inputs"/>
      <sheetName val="SharecCalc"/>
      <sheetName val="Trust Waterfalls"/>
      <sheetName val="Trust Wires"/>
      <sheetName val="MTCMA Notice"/>
      <sheetName val="Notice Schedule 1"/>
      <sheetName val="Notice Contact List"/>
      <sheetName val="New Loans Additions"/>
      <sheetName val="HFipd feb 07"/>
      <sheetName val="GMPIPD MAY07"/>
    </sheetNames>
    <sheetDataSet>
      <sheetData sheetId="0" refreshError="1"/>
      <sheetData sheetId="1" refreshError="1">
        <row r="426">
          <cell r="F426">
            <v>4210123.13</v>
          </cell>
        </row>
        <row r="443">
          <cell r="C443">
            <v>845</v>
          </cell>
          <cell r="D443">
            <v>31574615.710000001</v>
          </cell>
        </row>
        <row r="444">
          <cell r="C444">
            <v>215412</v>
          </cell>
          <cell r="D444">
            <v>18871565783.149998</v>
          </cell>
        </row>
        <row r="448">
          <cell r="C448">
            <v>129097</v>
          </cell>
          <cell r="D448">
            <v>29112475617.349998</v>
          </cell>
        </row>
        <row r="455">
          <cell r="C455">
            <v>137278785.97999999</v>
          </cell>
          <cell r="D455">
            <v>1.4858537987567401E-2</v>
          </cell>
          <cell r="E455">
            <v>0.16160007310489011</v>
          </cell>
        </row>
        <row r="456">
          <cell r="C456">
            <v>98226538.679999992</v>
          </cell>
          <cell r="D456">
            <v>1.0631670042424997E-2</v>
          </cell>
          <cell r="E456">
            <v>0.11825248481316952</v>
          </cell>
        </row>
      </sheetData>
      <sheetData sheetId="2" refreshError="1"/>
      <sheetData sheetId="3" refreshError="1"/>
      <sheetData sheetId="4" refreshError="1"/>
      <sheetData sheetId="5" refreshError="1"/>
      <sheetData sheetId="6" refreshError="1">
        <row r="125">
          <cell r="B125">
            <v>358748750.89999998</v>
          </cell>
        </row>
      </sheetData>
      <sheetData sheetId="7" refreshError="1">
        <row r="38">
          <cell r="B38">
            <v>100</v>
          </cell>
        </row>
        <row r="190">
          <cell r="B190">
            <v>1030546026.7406</v>
          </cell>
        </row>
      </sheetData>
      <sheetData sheetId="8" refreshError="1">
        <row r="18">
          <cell r="B18">
            <v>15555856.58</v>
          </cell>
        </row>
        <row r="19">
          <cell r="B19">
            <v>1388720.38</v>
          </cell>
        </row>
        <row r="20">
          <cell r="B20">
            <v>0</v>
          </cell>
        </row>
        <row r="21">
          <cell r="B21">
            <v>65436.6</v>
          </cell>
        </row>
        <row r="25">
          <cell r="B25">
            <v>0</v>
          </cell>
        </row>
        <row r="29">
          <cell r="B29">
            <v>0</v>
          </cell>
        </row>
        <row r="39">
          <cell r="B39">
            <v>8335188.7199999997</v>
          </cell>
        </row>
        <row r="40">
          <cell r="B40">
            <v>8344506</v>
          </cell>
        </row>
        <row r="41">
          <cell r="B41">
            <v>0</v>
          </cell>
        </row>
        <row r="44">
          <cell r="B44">
            <v>330318.84000000003</v>
          </cell>
        </row>
        <row r="75">
          <cell r="B75">
            <v>74.37</v>
          </cell>
        </row>
        <row r="78">
          <cell r="B78">
            <v>0</v>
          </cell>
        </row>
        <row r="79">
          <cell r="B79">
            <v>0</v>
          </cell>
        </row>
      </sheetData>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GMPIPD MAY07"/>
      <sheetName val="HFipd feb 07"/>
      <sheetName val="Monthly Report"/>
      <sheetName val="Monthly tasks priority"/>
      <sheetName val="Litigation"/>
      <sheetName val="Weighted Calcs"/>
      <sheetName val="Strats"/>
      <sheetName val="Data&amp;Infr Inputs"/>
      <sheetName val="Inputs"/>
      <sheetName val="SharecCalc"/>
      <sheetName val="Trust Waterfalls"/>
      <sheetName val="Trust Wires"/>
      <sheetName val="MTCMA Notice"/>
      <sheetName val="Notice Schedule 1"/>
      <sheetName val="Notice Contact List"/>
      <sheetName val="New Loans Additions"/>
    </sheetNames>
    <sheetDataSet>
      <sheetData sheetId="0" refreshError="1"/>
      <sheetData sheetId="1" refreshError="1"/>
      <sheetData sheetId="2" refreshError="1">
        <row r="44">
          <cell r="C44">
            <v>2.307E-2</v>
          </cell>
        </row>
        <row r="451">
          <cell r="C451">
            <v>0</v>
          </cell>
          <cell r="D451">
            <v>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onthly tasks priority"/>
      <sheetName val="Monthly Report"/>
      <sheetName val="Litigation"/>
      <sheetName val="Weighted Calcs"/>
      <sheetName val="Strats"/>
      <sheetName val="Data&amp;Infr Inputs"/>
      <sheetName val="Inputs"/>
      <sheetName val="SharecCalc"/>
      <sheetName val="Trust Waterfalls"/>
      <sheetName val="Trust Wires"/>
      <sheetName val="MTCMA Notice"/>
      <sheetName val="Notice Schedule 1"/>
      <sheetName val="Notice Contact List"/>
      <sheetName val="New Loans Additions"/>
      <sheetName val="HFipd feb 07"/>
      <sheetName val="GMPIPD MAY07"/>
    </sheetNames>
    <sheetDataSet>
      <sheetData sheetId="0"/>
      <sheetData sheetId="1">
        <row r="458">
          <cell r="C458">
            <v>132184591.97999999</v>
          </cell>
          <cell r="D458">
            <v>1.4136808985311207E-2</v>
          </cell>
          <cell r="E458">
            <v>0.15433947019365335</v>
          </cell>
        </row>
        <row r="459">
          <cell r="C459">
            <v>92197633.559999987</v>
          </cell>
          <cell r="D459">
            <v>9.8603045560154562E-3</v>
          </cell>
          <cell r="E459">
            <v>0.11012413314187586</v>
          </cell>
        </row>
      </sheetData>
      <sheetData sheetId="2"/>
      <sheetData sheetId="3"/>
      <sheetData sheetId="4"/>
      <sheetData sheetId="5"/>
      <sheetData sheetId="6">
        <row r="69">
          <cell r="B69">
            <v>8921585212.6700001</v>
          </cell>
        </row>
      </sheetData>
      <sheetData sheetId="7">
        <row r="25">
          <cell r="B25">
            <v>4751520507.29</v>
          </cell>
        </row>
      </sheetData>
      <sheetData sheetId="8">
        <row r="18">
          <cell r="B18">
            <v>15939348.210000001</v>
          </cell>
        </row>
        <row r="19">
          <cell r="B19">
            <v>1370895.09</v>
          </cell>
        </row>
        <row r="20">
          <cell r="B20">
            <v>0</v>
          </cell>
        </row>
        <row r="21">
          <cell r="B21">
            <v>58886.31</v>
          </cell>
        </row>
        <row r="25">
          <cell r="B25">
            <v>0</v>
          </cell>
        </row>
        <row r="29">
          <cell r="B29">
            <v>0</v>
          </cell>
        </row>
        <row r="39">
          <cell r="B39">
            <v>8379882.9699999997</v>
          </cell>
        </row>
        <row r="40">
          <cell r="B40">
            <v>8668484.5600000005</v>
          </cell>
        </row>
        <row r="41">
          <cell r="B41">
            <v>0</v>
          </cell>
        </row>
        <row r="44">
          <cell r="B44">
            <v>320762.08</v>
          </cell>
        </row>
        <row r="75">
          <cell r="B75">
            <v>113.84</v>
          </cell>
        </row>
        <row r="78">
          <cell r="B78">
            <v>0</v>
          </cell>
        </row>
        <row r="79">
          <cell r="B79">
            <v>0</v>
          </cell>
        </row>
      </sheetData>
      <sheetData sheetId="9">
        <row r="10">
          <cell r="C10">
            <v>55.96</v>
          </cell>
        </row>
      </sheetData>
      <sheetData sheetId="10"/>
      <sheetData sheetId="11"/>
      <sheetData sheetId="12"/>
      <sheetData sheetId="13"/>
      <sheetData sheetId="14"/>
      <sheetData sheetId="15"/>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Monthly tasks priority"/>
      <sheetName val="Monthly Report"/>
      <sheetName val="Litigation"/>
      <sheetName val="Weighted Calcs"/>
      <sheetName val="Strats"/>
      <sheetName val="Data&amp;Infr Inputs"/>
      <sheetName val="Inputs"/>
      <sheetName val="SharecCalc"/>
      <sheetName val="Trust Waterfalls"/>
      <sheetName val="Trust Wires"/>
      <sheetName val="MTCMA Notice"/>
      <sheetName val="Notice Schedule 1"/>
      <sheetName val="Notice Contact List"/>
      <sheetName val="New Loans Additions"/>
      <sheetName val="HFipd feb 07"/>
      <sheetName val="GMPIPD MAY07"/>
    </sheetNames>
    <sheetDataSet>
      <sheetData sheetId="0" refreshError="1"/>
      <sheetData sheetId="1" refreshError="1">
        <row r="458">
          <cell r="C458">
            <v>121744657.17</v>
          </cell>
          <cell r="D458">
            <v>1.2869404284788326E-2</v>
          </cell>
          <cell r="E458">
            <v>0.14144997838607121</v>
          </cell>
        </row>
        <row r="459">
          <cell r="C459">
            <v>89073143.620000005</v>
          </cell>
          <cell r="D459">
            <v>9.4157585458729005E-3</v>
          </cell>
          <cell r="E459">
            <v>0.1054085921817367</v>
          </cell>
        </row>
      </sheetData>
      <sheetData sheetId="2" refreshError="1"/>
      <sheetData sheetId="3" refreshError="1"/>
      <sheetData sheetId="4" refreshError="1"/>
      <sheetData sheetId="5" refreshError="1"/>
      <sheetData sheetId="6" refreshError="1"/>
      <sheetData sheetId="7" refreshError="1"/>
      <sheetData sheetId="8" refreshError="1">
        <row r="18">
          <cell r="B18">
            <v>16937098.75</v>
          </cell>
        </row>
        <row r="19">
          <cell r="B19">
            <v>1491054.1</v>
          </cell>
        </row>
        <row r="20">
          <cell r="B20">
            <v>0</v>
          </cell>
        </row>
        <row r="21">
          <cell r="B21">
            <v>60797.13</v>
          </cell>
        </row>
        <row r="25">
          <cell r="B25">
            <v>0</v>
          </cell>
        </row>
        <row r="29">
          <cell r="B29">
            <v>0</v>
          </cell>
        </row>
        <row r="39">
          <cell r="B39">
            <v>8793802.1099999994</v>
          </cell>
        </row>
        <row r="40">
          <cell r="B40">
            <v>9354448.7699999996</v>
          </cell>
        </row>
        <row r="41">
          <cell r="B41">
            <v>0</v>
          </cell>
        </row>
        <row r="44">
          <cell r="B44">
            <v>340699.10000000003</v>
          </cell>
        </row>
        <row r="75">
          <cell r="B75">
            <v>240.94</v>
          </cell>
        </row>
        <row r="78">
          <cell r="B78">
            <v>0</v>
          </cell>
        </row>
        <row r="79">
          <cell r="B79">
            <v>0</v>
          </cell>
        </row>
      </sheetData>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Actions"/>
      <sheetName val="Quarterly Report"/>
      <sheetName val="General Inputs"/>
      <sheetName val="Cross-Currency Swap and Notes"/>
      <sheetName val="LN Balances and Interest Due"/>
      <sheetName val="Funding Wires"/>
      <sheetName val="Funding Waterfall"/>
      <sheetName val="Issuer Wires"/>
      <sheetName val="Issuer Waterfall"/>
      <sheetName val="GMF 2 CCY Amortisation"/>
      <sheetName val="GMF 2 GBP Amortisation"/>
      <sheetName val="Feb 2010 Bonds to be called"/>
      <sheetName val="GMF 3 CCY Amortisation"/>
      <sheetName val="GMF 3 GBP Amortisation"/>
      <sheetName val="GMF 09 GBP Amortisation"/>
      <sheetName val="TOTAL AMORTISATION"/>
      <sheetName val="Notices"/>
      <sheetName val="Recon"/>
      <sheetName val="New Loans Additions"/>
    </sheetNames>
    <sheetDataSet>
      <sheetData sheetId="0"/>
      <sheetData sheetId="1">
        <row r="698">
          <cell r="D698">
            <v>7996084.8000000212</v>
          </cell>
        </row>
      </sheetData>
      <sheetData sheetId="2"/>
      <sheetData sheetId="3"/>
      <sheetData sheetId="4"/>
      <sheetData sheetId="5"/>
      <sheetData sheetId="6">
        <row r="179">
          <cell r="C179">
            <v>0</v>
          </cell>
        </row>
      </sheetData>
      <sheetData sheetId="7"/>
      <sheetData sheetId="8"/>
      <sheetData sheetId="9"/>
      <sheetData sheetId="10"/>
      <sheetData sheetId="11"/>
      <sheetData sheetId="12"/>
      <sheetData sheetId="13"/>
      <sheetData sheetId="14"/>
      <sheetData sheetId="15">
        <row r="62">
          <cell r="H62">
            <v>255449967.70999998</v>
          </cell>
        </row>
      </sheetData>
      <sheetData sheetId="16"/>
      <sheetData sheetId="17"/>
      <sheetData sheetId="18"/>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externalLinkPath" Target="file:///C:\Capital%20Planning\Capital%20Issuance\Operations%20Admin\Investor%20Reporting\Corporate%20Loans\CDS%20MARGIN%20PAYMENTS%20150507%20v2.xls" TargetMode="External"/></Relationships>
</file>

<file path=xl/pivotCache/pivotCacheDefinition1.xml><?xml version="1.0" encoding="utf-8"?>
<pivotCacheDefinition xmlns="http://schemas.openxmlformats.org/spreadsheetml/2006/main" xmlns:r="http://schemas.openxmlformats.org/officeDocument/2006/relationships" invalid="1" refreshedBy="deenf" refreshedDate="39211.402459722223" createdVersion="1" refreshedVersion="1" recordCount="17" upgradeOnRefresh="1">
  <cacheSource type="worksheet">
    <worksheetSource ref="H11:I28" sheet="INT CALC " r:id="rId1"/>
  </cacheSource>
  <cacheFields count="2">
    <cacheField name="CCY" numFmtId="0">
      <sharedItems count="3">
        <s v="GBP"/>
        <s v="EUR"/>
        <s v="USD"/>
      </sharedItems>
    </cacheField>
    <cacheField name="BOND COUPON " numFmtId="0">
      <sharedItems containsSemiMixedTypes="0" containsString="0" containsNumber="1" minValue="250980" maxValue="51132972.222222231" count="17">
        <n v="14083043.013698632"/>
        <n v="18541419.444444444"/>
        <n v="51132972.222222231"/>
        <n v="609764.8221917809"/>
        <n v="394729.83333333337"/>
        <n v="250980"/>
        <n v="619201.26054794516"/>
        <n v="682689.33333333337"/>
        <n v="283316.66666666669"/>
        <n v="255163.51205479453"/>
        <n v="504244.33333333331"/>
        <n v="295677.77777777775"/>
        <n v="787056.26027397264"/>
        <n v="854355.5"/>
        <n v="1616265.3589041098"/>
        <n v="1712930.8191780825"/>
        <n v="3544304.3013698636"/>
      </sharedItems>
    </cacheField>
  </cacheFields>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dataOnRows="1" applyNumberFormats="0" applyBorderFormats="0" applyFontFormats="0" applyPatternFormats="0" applyAlignmentFormats="0" applyWidthHeightFormats="1" dataCaption="Data" updatedVersion="1" asteriskTotals="1" showMemberPropertyTips="0" useAutoFormatting="1" itemPrintTitles="1" createdVersion="1" indent="0" compact="0" compactData="0" gridDropZones="1">
  <location ref="R7:S12" firstHeaderRow="2" firstDataRow="2" firstDataCol="1"/>
  <pivotFields count="2">
    <pivotField axis="axisRow" compact="0" outline="0" subtotalTop="0" showAll="0" includeNewItemsInFilter="1">
      <items count="4">
        <item x="1"/>
        <item x="0"/>
        <item x="2"/>
        <item t="default"/>
      </items>
    </pivotField>
    <pivotField dataField="1" compact="0" outline="0" subtotalTop="0" showAll="0" includeNewItemsInFilter="1"/>
  </pivotFields>
  <rowFields count="1">
    <field x="0"/>
  </rowFields>
  <rowItems count="4">
    <i>
      <x/>
    </i>
    <i>
      <x v="1"/>
    </i>
    <i>
      <x v="2"/>
    </i>
    <i t="grand">
      <x/>
    </i>
  </rowItems>
  <colItems count="1">
    <i/>
  </colItems>
  <dataFields count="1">
    <dataField name="Sum of BOND COUPON " fld="1" baseField="0" baseItem="0"/>
  </dataFields>
  <formats count="2">
    <format dxfId="1">
      <pivotArea outline="0" fieldPosition="0">
        <references count="1">
          <reference field="0" count="0" selected="0"/>
        </references>
      </pivotArea>
    </format>
    <format dxfId="0">
      <pivotArea grandRow="1" outline="0" fieldPosition="0"/>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ivotTable" Target="../pivotTables/pivotTable1.xml"/></Relationships>
</file>

<file path=xl/worksheets/_rels/sheet11.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hyperlink" Target="https://live.irooms.net/BarclaysBoEdatahosting/" TargetMode="External"/><Relationship Id="rId2" Type="http://schemas.openxmlformats.org/officeDocument/2006/relationships/hyperlink" Target="https://boeportal.co.uk/barclays/" TargetMode="External"/><Relationship Id="rId1" Type="http://schemas.openxmlformats.org/officeDocument/2006/relationships/hyperlink" Target="https://live.irooms.net/BarclaysBoEdatahosting/"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hyperlink" Target="mailto:ghpeters@bloomberg.net" TargetMode="External"/><Relationship Id="rId2" Type="http://schemas.openxmlformats.org/officeDocument/2006/relationships/hyperlink" Target="mailto:ldeiacouo@bloomberg.net" TargetMode="External"/><Relationship Id="rId1" Type="http://schemas.openxmlformats.org/officeDocument/2006/relationships/hyperlink" Target="mailto:Jean.Walsh@bedellgroup.comRebecca.Bates@bedellgroup.com" TargetMode="External"/><Relationship Id="rId5" Type="http://schemas.openxmlformats.org/officeDocument/2006/relationships/printerSettings" Target="../printerSettings/printerSettings9.bin"/><Relationship Id="rId4" Type="http://schemas.openxmlformats.org/officeDocument/2006/relationships/hyperlink" Target="mailto:datacenter@lewtan.com" TargetMode="External"/></Relationships>
</file>

<file path=xl/worksheets/sheet1.xml><?xml version="1.0" encoding="utf-8"?>
<worksheet xmlns="http://schemas.openxmlformats.org/spreadsheetml/2006/main" xmlns:r="http://schemas.openxmlformats.org/officeDocument/2006/relationships">
  <sheetPr codeName="Sheet15" enableFormatConditionsCalculation="0">
    <tabColor indexed="9"/>
  </sheetPr>
  <dimension ref="A1:IV750"/>
  <sheetViews>
    <sheetView view="pageBreakPreview" topLeftCell="A609" zoomScale="75" zoomScaleNormal="70" zoomScaleSheetLayoutView="70" workbookViewId="0">
      <selection activeCell="A657" sqref="A633:IV657"/>
    </sheetView>
  </sheetViews>
  <sheetFormatPr defaultRowHeight="12.75"/>
  <cols>
    <col min="1" max="1" width="49.5703125" style="69" customWidth="1"/>
    <col min="2" max="2" width="37.85546875" style="107" customWidth="1"/>
    <col min="3" max="3" width="30.28515625" style="59" customWidth="1"/>
    <col min="4" max="4" width="27.7109375" style="107" customWidth="1"/>
    <col min="5" max="5" width="21.42578125" style="59" customWidth="1"/>
    <col min="6" max="6" width="23.5703125" style="33" customWidth="1"/>
    <col min="7" max="7" width="30.42578125" style="33" customWidth="1"/>
    <col min="8" max="8" width="33.5703125" style="33" customWidth="1"/>
    <col min="9" max="9" width="22.42578125" style="33" customWidth="1"/>
    <col min="10" max="10" width="24.42578125" style="33" customWidth="1"/>
    <col min="11" max="11" width="18.28515625" style="33" customWidth="1"/>
    <col min="12" max="12" width="20" style="33" customWidth="1"/>
    <col min="13" max="13" width="3.140625" style="35" customWidth="1"/>
    <col min="14" max="19" width="18.28515625" style="35" customWidth="1"/>
    <col min="20" max="21" width="10.85546875" style="35" customWidth="1"/>
    <col min="22" max="36" width="9.140625" style="35"/>
    <col min="37" max="16384" width="9.140625" style="33"/>
  </cols>
  <sheetData>
    <row r="1" spans="1:8" ht="13.5" customHeight="1">
      <c r="B1" s="411"/>
      <c r="C1" s="275"/>
      <c r="D1" s="274"/>
      <c r="E1" s="275"/>
      <c r="F1" s="86"/>
      <c r="G1" s="86"/>
    </row>
    <row r="2" spans="1:8" ht="23.25">
      <c r="A2" s="417" t="s">
        <v>124</v>
      </c>
      <c r="B2" s="411"/>
      <c r="C2" s="275"/>
      <c r="D2" s="274"/>
      <c r="E2" s="275"/>
      <c r="F2" s="86"/>
      <c r="G2" s="86"/>
    </row>
    <row r="3" spans="1:8" ht="20.25">
      <c r="A3" s="419" t="s">
        <v>123</v>
      </c>
      <c r="B3" s="411"/>
      <c r="C3" s="275"/>
      <c r="D3" s="274"/>
      <c r="E3" s="275"/>
      <c r="F3" s="86"/>
      <c r="G3" s="86"/>
    </row>
    <row r="4" spans="1:8" ht="18.75">
      <c r="A4" s="410"/>
      <c r="B4" s="411"/>
      <c r="C4" s="477"/>
      <c r="D4" s="274"/>
      <c r="E4" s="275"/>
      <c r="F4" s="86"/>
      <c r="G4" s="86"/>
    </row>
    <row r="5" spans="1:8" ht="18.75">
      <c r="A5" s="418" t="s">
        <v>151</v>
      </c>
      <c r="B5" s="414" t="e">
        <f>EOMONTH(D9, 0)</f>
        <v>#REF!</v>
      </c>
      <c r="C5" s="624"/>
      <c r="F5" s="276"/>
    </row>
    <row r="6" spans="1:8">
      <c r="A6" s="273"/>
      <c r="C6" s="313"/>
      <c r="F6" s="276"/>
    </row>
    <row r="8" spans="1:8" ht="18.75">
      <c r="A8" s="410"/>
      <c r="B8" s="413" t="s">
        <v>125</v>
      </c>
      <c r="C8" s="413" t="s">
        <v>126</v>
      </c>
      <c r="D8" s="413" t="s">
        <v>28</v>
      </c>
    </row>
    <row r="9" spans="1:8" ht="18.75">
      <c r="A9" s="416" t="s">
        <v>871</v>
      </c>
      <c r="B9" s="414" t="e">
        <f>#REF!</f>
        <v>#REF!</v>
      </c>
      <c r="C9" s="415" t="e">
        <f>+#REF!</f>
        <v>#REF!</v>
      </c>
      <c r="D9" s="414" t="e">
        <f>+#REF!</f>
        <v>#REF!</v>
      </c>
    </row>
    <row r="10" spans="1:8" ht="18.75" hidden="1">
      <c r="A10" s="803" t="s">
        <v>1</v>
      </c>
      <c r="B10" s="804" t="e">
        <f>IF(#REF!="yes",#REF!,#REF!)</f>
        <v>#REF!</v>
      </c>
      <c r="C10" s="805" t="e">
        <f>+#REF!</f>
        <v>#REF!</v>
      </c>
      <c r="D10" s="804" t="e">
        <f>+#REF!</f>
        <v>#REF!</v>
      </c>
      <c r="E10" s="825" t="s">
        <v>951</v>
      </c>
    </row>
    <row r="11" spans="1:8" ht="18.75">
      <c r="C11" s="412"/>
    </row>
    <row r="12" spans="1:8">
      <c r="A12" s="273"/>
      <c r="B12" s="274"/>
    </row>
    <row r="13" spans="1:8" ht="123.75" customHeight="1">
      <c r="A13" s="1486" t="s">
        <v>291</v>
      </c>
      <c r="B13" s="1487"/>
      <c r="C13" s="1487"/>
      <c r="D13" s="1488"/>
    </row>
    <row r="14" spans="1:8" ht="38.25" customHeight="1">
      <c r="A14" s="33"/>
      <c r="B14" s="33"/>
      <c r="C14" s="33"/>
      <c r="D14" s="33"/>
    </row>
    <row r="15" spans="1:8" ht="18.75" customHeight="1">
      <c r="A15" s="446" t="s">
        <v>292</v>
      </c>
      <c r="B15" s="445"/>
      <c r="C15" s="447"/>
      <c r="D15" s="448"/>
      <c r="E15" s="279"/>
      <c r="F15" s="69"/>
      <c r="G15" s="69"/>
    </row>
    <row r="16" spans="1:8" ht="73.5" customHeight="1">
      <c r="A16" s="434" t="s">
        <v>89</v>
      </c>
      <c r="B16" s="1489" t="s">
        <v>408</v>
      </c>
      <c r="C16" s="1489"/>
      <c r="D16" s="1490"/>
      <c r="E16" s="48"/>
      <c r="F16" s="48"/>
      <c r="G16" s="48"/>
      <c r="H16" s="48"/>
    </row>
    <row r="17" spans="1:36" ht="29.25" customHeight="1">
      <c r="A17" s="435" t="s">
        <v>152</v>
      </c>
      <c r="B17" s="1491" t="s">
        <v>155</v>
      </c>
      <c r="C17" s="1491"/>
      <c r="D17" s="1492"/>
      <c r="E17" s="1495"/>
      <c r="F17" s="1496"/>
      <c r="G17" s="1496"/>
      <c r="H17" s="48"/>
    </row>
    <row r="18" spans="1:36" ht="29.25" customHeight="1">
      <c r="A18" s="435" t="s">
        <v>490</v>
      </c>
      <c r="B18" s="1491" t="s">
        <v>873</v>
      </c>
      <c r="C18" s="1491"/>
      <c r="D18" s="1492"/>
      <c r="E18" s="1495"/>
      <c r="F18" s="1496"/>
      <c r="G18" s="1496"/>
      <c r="H18" s="48"/>
    </row>
    <row r="19" spans="1:36" ht="33.75" customHeight="1">
      <c r="A19" s="435" t="s">
        <v>409</v>
      </c>
      <c r="B19" s="1491" t="s">
        <v>386</v>
      </c>
      <c r="C19" s="1491"/>
      <c r="D19" s="1492"/>
      <c r="E19" s="51" t="s">
        <v>622</v>
      </c>
      <c r="F19" s="51"/>
    </row>
    <row r="20" spans="1:36" ht="29.25" customHeight="1">
      <c r="A20" s="435" t="s">
        <v>156</v>
      </c>
      <c r="B20" s="1491" t="s">
        <v>157</v>
      </c>
      <c r="C20" s="1491"/>
      <c r="D20" s="1492"/>
      <c r="E20" s="51"/>
      <c r="F20" s="51"/>
    </row>
    <row r="21" spans="1:36" ht="29.25" customHeight="1">
      <c r="A21" s="436" t="s">
        <v>729</v>
      </c>
      <c r="B21" s="1493" t="s">
        <v>736</v>
      </c>
      <c r="C21" s="1493"/>
      <c r="D21" s="1494"/>
      <c r="E21" s="51"/>
      <c r="F21" s="51"/>
    </row>
    <row r="22" spans="1:36">
      <c r="A22" s="48"/>
      <c r="B22" s="280"/>
      <c r="C22" s="281"/>
      <c r="E22" s="281"/>
      <c r="F22" s="282"/>
      <c r="G22" s="282"/>
      <c r="H22" s="282"/>
    </row>
    <row r="23" spans="1:36">
      <c r="A23" s="48"/>
      <c r="C23" s="108"/>
      <c r="D23" s="109"/>
      <c r="E23" s="108"/>
      <c r="F23" s="51"/>
    </row>
    <row r="24" spans="1:36" ht="25.5" customHeight="1">
      <c r="A24" s="449" t="s">
        <v>730</v>
      </c>
      <c r="B24" s="445"/>
      <c r="C24" s="450"/>
      <c r="D24" s="451"/>
      <c r="E24" s="108"/>
      <c r="F24" s="51"/>
    </row>
    <row r="25" spans="1:36" s="51" customFormat="1" ht="23.25" customHeight="1">
      <c r="A25" s="532" t="s">
        <v>731</v>
      </c>
      <c r="B25" s="533" t="s">
        <v>732</v>
      </c>
      <c r="C25" s="534"/>
      <c r="D25" s="535"/>
      <c r="E25" s="108"/>
      <c r="M25" s="52"/>
      <c r="N25" s="52"/>
      <c r="O25" s="52"/>
      <c r="P25" s="52"/>
      <c r="Q25" s="52"/>
      <c r="R25" s="52"/>
      <c r="S25" s="52"/>
      <c r="T25" s="52"/>
      <c r="U25" s="52"/>
      <c r="V25" s="52"/>
      <c r="W25" s="52"/>
      <c r="X25" s="52"/>
      <c r="Y25" s="52"/>
      <c r="Z25" s="52"/>
      <c r="AA25" s="52"/>
      <c r="AB25" s="52"/>
      <c r="AC25" s="52"/>
      <c r="AD25" s="52"/>
      <c r="AE25" s="52"/>
      <c r="AF25" s="52"/>
      <c r="AG25" s="52"/>
      <c r="AH25" s="52"/>
      <c r="AI25" s="52"/>
      <c r="AJ25" s="52"/>
    </row>
    <row r="26" spans="1:36" s="51" customFormat="1" ht="18" customHeight="1">
      <c r="A26" s="536" t="s">
        <v>558</v>
      </c>
      <c r="B26" s="537" t="e">
        <f>#REF!</f>
        <v>#REF!</v>
      </c>
      <c r="C26" s="538"/>
      <c r="D26" s="539"/>
      <c r="E26" s="108"/>
      <c r="F26" s="51" t="s">
        <v>622</v>
      </c>
      <c r="M26" s="52"/>
      <c r="N26" s="52"/>
      <c r="O26" s="52"/>
      <c r="P26" s="52"/>
      <c r="Q26" s="52"/>
      <c r="R26" s="52"/>
      <c r="S26" s="52"/>
      <c r="T26" s="52"/>
      <c r="U26" s="52"/>
      <c r="V26" s="52"/>
      <c r="W26" s="52"/>
      <c r="X26" s="52"/>
      <c r="Y26" s="52"/>
      <c r="Z26" s="52"/>
      <c r="AA26" s="52"/>
      <c r="AB26" s="52"/>
      <c r="AC26" s="52"/>
      <c r="AD26" s="52"/>
      <c r="AE26" s="52"/>
      <c r="AF26" s="52"/>
      <c r="AG26" s="52"/>
      <c r="AH26" s="52"/>
      <c r="AI26" s="52"/>
      <c r="AJ26" s="52"/>
    </row>
    <row r="27" spans="1:36" s="51" customFormat="1" ht="15.75" hidden="1" customHeight="1">
      <c r="A27" s="806" t="s">
        <v>559</v>
      </c>
      <c r="B27" s="807" t="e">
        <f>IF(#REF!="yes",#REF!,#REF!)</f>
        <v>#REF!</v>
      </c>
      <c r="C27" s="808"/>
      <c r="D27" s="809"/>
      <c r="E27" s="824" t="s">
        <v>951</v>
      </c>
      <c r="M27" s="52"/>
      <c r="N27" s="52"/>
      <c r="O27" s="52"/>
      <c r="P27" s="52"/>
      <c r="Q27" s="52"/>
      <c r="R27" s="52"/>
      <c r="S27" s="52"/>
      <c r="T27" s="52"/>
      <c r="U27" s="52"/>
      <c r="V27" s="52"/>
      <c r="W27" s="52"/>
      <c r="X27" s="52"/>
      <c r="Y27" s="52"/>
      <c r="Z27" s="52"/>
      <c r="AA27" s="52"/>
      <c r="AB27" s="52"/>
      <c r="AC27" s="52"/>
      <c r="AD27" s="52"/>
      <c r="AE27" s="52"/>
      <c r="AF27" s="52"/>
      <c r="AG27" s="52"/>
      <c r="AH27" s="52"/>
      <c r="AI27" s="52"/>
      <c r="AJ27" s="52"/>
    </row>
    <row r="28" spans="1:36" s="51" customFormat="1" ht="15.75" customHeight="1">
      <c r="A28" s="536"/>
      <c r="B28" s="540"/>
      <c r="C28" s="538"/>
      <c r="D28" s="539"/>
      <c r="E28" s="108"/>
      <c r="M28" s="52"/>
      <c r="N28" s="52"/>
      <c r="O28" s="52"/>
      <c r="P28" s="52"/>
      <c r="Q28" s="52"/>
      <c r="R28" s="52"/>
      <c r="S28" s="52"/>
      <c r="T28" s="52"/>
      <c r="U28" s="52"/>
      <c r="V28" s="52"/>
      <c r="W28" s="52"/>
      <c r="X28" s="52"/>
      <c r="Y28" s="52"/>
      <c r="Z28" s="52"/>
      <c r="AA28" s="52"/>
      <c r="AB28" s="52"/>
      <c r="AC28" s="52"/>
      <c r="AD28" s="52"/>
      <c r="AE28" s="52"/>
      <c r="AF28" s="52"/>
      <c r="AG28" s="52"/>
      <c r="AH28" s="52"/>
      <c r="AI28" s="52"/>
      <c r="AJ28" s="52"/>
    </row>
    <row r="29" spans="1:36" s="51" customFormat="1" ht="15.75" customHeight="1">
      <c r="A29" s="536" t="s">
        <v>965</v>
      </c>
      <c r="B29" s="541" t="s">
        <v>966</v>
      </c>
      <c r="C29" s="541"/>
      <c r="D29" s="539"/>
      <c r="E29" s="108"/>
      <c r="M29" s="52"/>
      <c r="N29" s="52"/>
      <c r="O29" s="52"/>
      <c r="P29" s="52"/>
      <c r="Q29" s="52"/>
      <c r="R29" s="52"/>
      <c r="S29" s="52"/>
      <c r="T29" s="52"/>
      <c r="U29" s="52"/>
      <c r="V29" s="52"/>
      <c r="W29" s="52"/>
      <c r="X29" s="52"/>
      <c r="Y29" s="52"/>
      <c r="Z29" s="52"/>
      <c r="AA29" s="52"/>
      <c r="AB29" s="52"/>
      <c r="AC29" s="52"/>
      <c r="AD29" s="52"/>
      <c r="AE29" s="52"/>
      <c r="AF29" s="52"/>
      <c r="AG29" s="52"/>
      <c r="AH29" s="52"/>
      <c r="AI29" s="52"/>
      <c r="AJ29" s="52"/>
    </row>
    <row r="30" spans="1:36" ht="15.75">
      <c r="A30" s="536"/>
      <c r="B30" s="542"/>
      <c r="C30" s="538"/>
      <c r="D30" s="539"/>
      <c r="E30" s="108"/>
      <c r="F30" s="51"/>
    </row>
    <row r="31" spans="1:36" ht="15.75">
      <c r="A31" s="543" t="s">
        <v>967</v>
      </c>
      <c r="B31" s="544" t="s">
        <v>968</v>
      </c>
      <c r="C31" s="544" t="s">
        <v>433</v>
      </c>
      <c r="D31" s="545" t="s">
        <v>435</v>
      </c>
      <c r="E31" s="33"/>
    </row>
    <row r="32" spans="1:36" ht="15" customHeight="1">
      <c r="A32" s="546" t="s">
        <v>969</v>
      </c>
      <c r="B32" s="547" t="s">
        <v>77</v>
      </c>
      <c r="C32" s="547" t="s">
        <v>214</v>
      </c>
      <c r="D32" s="548" t="s">
        <v>941</v>
      </c>
      <c r="E32" s="33"/>
    </row>
    <row r="33" spans="1:7" ht="15" customHeight="1">
      <c r="A33" s="546" t="s">
        <v>789</v>
      </c>
      <c r="B33" s="547" t="s">
        <v>790</v>
      </c>
      <c r="C33" s="547" t="s">
        <v>791</v>
      </c>
      <c r="D33" s="548" t="s">
        <v>1007</v>
      </c>
      <c r="E33" s="33"/>
    </row>
    <row r="34" spans="1:7" ht="15.75">
      <c r="A34" s="549"/>
      <c r="B34" s="550"/>
      <c r="C34" s="551"/>
      <c r="D34" s="552"/>
    </row>
    <row r="35" spans="1:7">
      <c r="A35" s="273"/>
      <c r="B35" s="274"/>
      <c r="E35" s="107"/>
      <c r="F35" s="59"/>
    </row>
    <row r="36" spans="1:7">
      <c r="A36" s="273"/>
      <c r="B36" s="274"/>
      <c r="E36" s="107"/>
      <c r="F36" s="59"/>
    </row>
    <row r="37" spans="1:7" ht="18.75">
      <c r="A37" s="421" t="s">
        <v>1008</v>
      </c>
      <c r="E37" s="107"/>
      <c r="F37" s="59"/>
    </row>
    <row r="38" spans="1:7">
      <c r="A38" s="284"/>
      <c r="E38" s="107"/>
      <c r="F38" s="59"/>
    </row>
    <row r="39" spans="1:7" ht="15.75">
      <c r="A39" s="553" t="e">
        <f>"Key pool statistics as of the "&amp;TEXT(EOMONTH(B5,-1)+1,"dd mmmm yyyy")</f>
        <v>#REF!</v>
      </c>
      <c r="B39" s="445"/>
      <c r="C39" s="554" t="s">
        <v>539</v>
      </c>
      <c r="D39" s="555" t="s">
        <v>872</v>
      </c>
      <c r="E39" s="313"/>
      <c r="G39" s="86"/>
    </row>
    <row r="40" spans="1:7" ht="5.25" customHeight="1">
      <c r="A40" s="431"/>
      <c r="B40" s="278"/>
      <c r="C40" s="437"/>
      <c r="D40" s="442"/>
      <c r="E40" s="313"/>
    </row>
    <row r="41" spans="1:7" ht="15" customHeight="1">
      <c r="A41" s="546" t="s">
        <v>85</v>
      </c>
      <c r="B41" s="278"/>
      <c r="C41" s="647">
        <f>D87</f>
        <v>86850</v>
      </c>
      <c r="D41" s="562">
        <v>139484</v>
      </c>
      <c r="E41" s="313"/>
      <c r="G41" s="407"/>
    </row>
    <row r="42" spans="1:7" ht="15" customHeight="1">
      <c r="A42" s="546" t="s">
        <v>86</v>
      </c>
      <c r="B42" s="278"/>
      <c r="C42" s="563">
        <f>B87</f>
        <v>9128291538.9599991</v>
      </c>
      <c r="D42" s="442">
        <v>15399324381.5</v>
      </c>
      <c r="E42" s="313"/>
      <c r="G42" s="280"/>
    </row>
    <row r="43" spans="1:7" ht="15" customHeight="1">
      <c r="A43" s="546" t="s">
        <v>87</v>
      </c>
      <c r="B43" s="278"/>
      <c r="C43" s="563">
        <f>B223</f>
        <v>8768869159.2399998</v>
      </c>
      <c r="D43" s="442">
        <v>15206852094.48</v>
      </c>
      <c r="E43" s="313"/>
      <c r="G43" s="280"/>
    </row>
    <row r="44" spans="1:7" ht="15" customHeight="1">
      <c r="A44" s="546" t="s">
        <v>861</v>
      </c>
      <c r="B44" s="278"/>
      <c r="C44" s="819">
        <f>'[2]Monthly Report'!$C$44</f>
        <v>2.0838000000000002E-2</v>
      </c>
      <c r="D44" s="564">
        <v>4.9700000000000001E-2</v>
      </c>
      <c r="E44" s="313"/>
      <c r="G44" s="408"/>
    </row>
    <row r="45" spans="1:7" ht="15" customHeight="1">
      <c r="A45" s="546" t="s">
        <v>862</v>
      </c>
      <c r="B45" s="278"/>
      <c r="C45" s="565">
        <f>'[2]Monthly Report'!$C$45</f>
        <v>235.28</v>
      </c>
      <c r="D45" s="443">
        <v>241.63</v>
      </c>
      <c r="E45" s="313"/>
      <c r="G45" s="282"/>
    </row>
    <row r="46" spans="1:7" ht="15" customHeight="1">
      <c r="A46" s="546" t="s">
        <v>864</v>
      </c>
      <c r="B46" s="278"/>
      <c r="C46" s="566">
        <f>'[2]Monthly Report'!$C$46</f>
        <v>0.56400399999999995</v>
      </c>
      <c r="D46" s="442"/>
      <c r="E46" s="313"/>
      <c r="G46" s="281"/>
    </row>
    <row r="47" spans="1:7" ht="15" customHeight="1">
      <c r="A47" s="546" t="s">
        <v>865</v>
      </c>
      <c r="B47" s="278"/>
      <c r="C47" s="566">
        <f>'[2]Monthly Report'!$C$47</f>
        <v>0.516517</v>
      </c>
      <c r="D47" s="442"/>
      <c r="E47" s="313"/>
      <c r="G47" s="281"/>
    </row>
    <row r="48" spans="1:7" ht="15" customHeight="1">
      <c r="A48" s="546" t="s">
        <v>866</v>
      </c>
      <c r="B48" s="278"/>
      <c r="C48" s="566">
        <f>'[2]Monthly Report'!$C$48</f>
        <v>0.58513899999999996</v>
      </c>
      <c r="D48" s="442"/>
      <c r="E48" s="313"/>
      <c r="G48" s="281"/>
    </row>
    <row r="49" spans="1:13" ht="15" customHeight="1">
      <c r="A49" s="546" t="s">
        <v>867</v>
      </c>
      <c r="B49" s="278"/>
      <c r="C49" s="566">
        <f>'[2]Monthly Report'!$C$49</f>
        <v>0.58210720000000005</v>
      </c>
      <c r="D49" s="442"/>
      <c r="E49" s="313"/>
      <c r="G49" s="281"/>
    </row>
    <row r="50" spans="1:13" ht="15" customHeight="1">
      <c r="A50" s="546" t="s">
        <v>868</v>
      </c>
      <c r="B50" s="278"/>
      <c r="C50" s="563">
        <f>C43/C41</f>
        <v>100965.67828716178</v>
      </c>
      <c r="D50" s="442"/>
      <c r="E50" s="313"/>
      <c r="G50" s="280"/>
    </row>
    <row r="51" spans="1:13" ht="15" customHeight="1">
      <c r="A51" s="546" t="s">
        <v>869</v>
      </c>
      <c r="B51" s="278"/>
      <c r="C51" s="563">
        <f>+C42/C41</f>
        <v>105104.10522694299</v>
      </c>
      <c r="D51" s="442"/>
      <c r="E51" s="313"/>
      <c r="G51" s="280"/>
    </row>
    <row r="52" spans="1:13" ht="15" customHeight="1">
      <c r="A52" s="546" t="s">
        <v>870</v>
      </c>
      <c r="B52" s="278"/>
      <c r="C52" s="565">
        <f>'[2]Monthly Report'!$C$52</f>
        <v>50.67</v>
      </c>
      <c r="D52" s="442"/>
      <c r="E52" s="313"/>
      <c r="G52" s="409"/>
    </row>
    <row r="53" spans="1:13" ht="15" customHeight="1">
      <c r="A53" s="546" t="s">
        <v>863</v>
      </c>
      <c r="B53" s="278"/>
      <c r="C53" s="565">
        <f>'[2]Monthly Report'!$C$53</f>
        <v>15.552899999999999</v>
      </c>
      <c r="D53" s="442">
        <v>18.09</v>
      </c>
      <c r="E53" s="313"/>
      <c r="G53" s="409"/>
    </row>
    <row r="54" spans="1:13" ht="15" customHeight="1">
      <c r="A54" s="549"/>
      <c r="B54" s="426"/>
      <c r="C54" s="567"/>
      <c r="D54" s="428"/>
      <c r="E54" s="313"/>
    </row>
    <row r="55" spans="1:13" ht="15" customHeight="1">
      <c r="A55" s="452" t="s">
        <v>590</v>
      </c>
      <c r="B55" s="422"/>
      <c r="C55" s="453"/>
      <c r="D55" s="440"/>
      <c r="E55" s="313"/>
    </row>
    <row r="56" spans="1:13" ht="15" customHeight="1">
      <c r="A56" s="454" t="e">
        <f>"1. After any repurchases and additions as of the"&amp;TEXT((B5-27)," dd mmmm yyyy")</f>
        <v>#REF!</v>
      </c>
      <c r="B56" s="426"/>
      <c r="C56" s="444"/>
      <c r="D56" s="428"/>
      <c r="E56" s="313"/>
    </row>
    <row r="57" spans="1:13" ht="15" customHeight="1">
      <c r="A57" s="831"/>
      <c r="B57" s="278"/>
      <c r="C57" s="832"/>
      <c r="D57" s="278"/>
      <c r="E57" s="313"/>
    </row>
    <row r="58" spans="1:13" ht="15" customHeight="1">
      <c r="B58" s="278"/>
      <c r="C58" s="832"/>
      <c r="D58" s="278"/>
      <c r="E58" s="313"/>
    </row>
    <row r="59" spans="1:13" ht="15" hidden="1" customHeight="1">
      <c r="A59" s="845" t="s">
        <v>949</v>
      </c>
      <c r="B59" s="846"/>
      <c r="C59" s="847"/>
      <c r="D59" s="846"/>
      <c r="E59" s="848"/>
      <c r="F59" s="80"/>
      <c r="G59" s="80"/>
      <c r="H59" s="80"/>
      <c r="I59" s="80"/>
      <c r="J59" s="80"/>
      <c r="K59" s="80"/>
      <c r="L59" s="80"/>
      <c r="M59" s="849"/>
    </row>
    <row r="60" spans="1:13" ht="15" hidden="1" customHeight="1">
      <c r="A60" s="850" t="s">
        <v>39</v>
      </c>
      <c r="B60" s="846"/>
      <c r="C60" s="847"/>
      <c r="D60" s="846"/>
      <c r="E60" s="848"/>
      <c r="F60" s="80"/>
      <c r="G60" s="80"/>
      <c r="H60" s="80"/>
      <c r="I60" s="80"/>
      <c r="J60" s="80"/>
      <c r="K60" s="80"/>
      <c r="L60" s="80"/>
      <c r="M60" s="849"/>
    </row>
    <row r="61" spans="1:13" ht="15" hidden="1" customHeight="1">
      <c r="A61" s="850" t="s">
        <v>564</v>
      </c>
      <c r="B61" s="846"/>
      <c r="C61" s="847"/>
      <c r="D61" s="846"/>
      <c r="E61" s="848"/>
      <c r="F61" s="80"/>
      <c r="G61" s="80"/>
      <c r="H61" s="80"/>
      <c r="I61" s="80"/>
      <c r="J61" s="80"/>
      <c r="K61" s="80"/>
      <c r="L61" s="80"/>
      <c r="M61" s="849"/>
    </row>
    <row r="62" spans="1:13" ht="15" hidden="1" customHeight="1">
      <c r="A62" s="850" t="s">
        <v>40</v>
      </c>
      <c r="B62" s="846"/>
      <c r="C62" s="847"/>
      <c r="D62" s="846"/>
      <c r="E62" s="848"/>
      <c r="F62" s="80"/>
      <c r="G62" s="80"/>
      <c r="H62" s="80"/>
      <c r="I62" s="80"/>
      <c r="J62" s="80"/>
      <c r="K62" s="80"/>
      <c r="L62" s="80"/>
      <c r="M62" s="849"/>
    </row>
    <row r="64" spans="1:13">
      <c r="A64" s="273"/>
      <c r="D64" s="33"/>
      <c r="E64" s="33"/>
      <c r="F64" s="288"/>
      <c r="G64" s="111"/>
    </row>
    <row r="65" spans="1:36" ht="18.75">
      <c r="A65" s="421" t="s">
        <v>410</v>
      </c>
      <c r="D65" s="33"/>
      <c r="E65" s="33"/>
      <c r="F65" s="288"/>
      <c r="G65" s="111"/>
    </row>
    <row r="66" spans="1:36">
      <c r="A66" s="273"/>
      <c r="D66" s="33"/>
      <c r="E66" s="33"/>
      <c r="F66" s="288"/>
      <c r="G66" s="111"/>
    </row>
    <row r="67" spans="1:36" ht="15" customHeight="1">
      <c r="A67" s="456" t="s">
        <v>700</v>
      </c>
      <c r="C67" s="290"/>
      <c r="D67" s="33"/>
      <c r="E67" s="33"/>
      <c r="F67" s="288"/>
      <c r="G67" s="456" t="s">
        <v>1030</v>
      </c>
      <c r="H67" s="278"/>
      <c r="I67" s="299"/>
      <c r="J67" s="278"/>
      <c r="K67" s="299"/>
    </row>
    <row r="68" spans="1:36" ht="25.5">
      <c r="A68" s="291" t="s">
        <v>1009</v>
      </c>
      <c r="B68" s="292" t="s">
        <v>943</v>
      </c>
      <c r="C68" s="293" t="s">
        <v>1010</v>
      </c>
      <c r="D68" s="292" t="s">
        <v>1011</v>
      </c>
      <c r="E68" s="293" t="s">
        <v>945</v>
      </c>
      <c r="F68" s="287"/>
      <c r="G68" s="292" t="s">
        <v>937</v>
      </c>
      <c r="H68" s="292" t="s">
        <v>943</v>
      </c>
      <c r="I68" s="293" t="s">
        <v>1010</v>
      </c>
      <c r="J68" s="292" t="s">
        <v>1011</v>
      </c>
      <c r="K68" s="293" t="s">
        <v>1010</v>
      </c>
    </row>
    <row r="69" spans="1:36">
      <c r="A69" s="336" t="s">
        <v>1012</v>
      </c>
      <c r="B69" s="107">
        <v>155231.35</v>
      </c>
      <c r="C69" s="301">
        <v>1.7005520620968879E-5</v>
      </c>
      <c r="D69" s="295">
        <v>2</v>
      </c>
      <c r="E69" s="301">
        <v>2.3028209556706965E-5</v>
      </c>
      <c r="F69" s="288"/>
      <c r="G69" s="107" t="s">
        <v>1023</v>
      </c>
      <c r="H69" s="107">
        <v>69921173.430000007</v>
      </c>
      <c r="I69" s="294">
        <v>7.6598313201953474E-3</v>
      </c>
      <c r="J69" s="295">
        <v>578</v>
      </c>
      <c r="K69" s="294">
        <v>6.6551525618883129E-3</v>
      </c>
    </row>
    <row r="70" spans="1:36">
      <c r="A70" s="336" t="s">
        <v>1013</v>
      </c>
      <c r="B70" s="107">
        <v>1629176.28</v>
      </c>
      <c r="C70" s="301">
        <v>1.7847548723072605E-4</v>
      </c>
      <c r="D70" s="295">
        <v>21</v>
      </c>
      <c r="E70" s="301">
        <v>2.4179620034542315E-4</v>
      </c>
      <c r="F70" s="288"/>
      <c r="G70" s="107" t="s">
        <v>1024</v>
      </c>
      <c r="H70" s="107">
        <v>138064942.31999999</v>
      </c>
      <c r="I70" s="294">
        <v>1.5124948817720378E-2</v>
      </c>
      <c r="J70" s="295">
        <v>1185</v>
      </c>
      <c r="K70" s="294">
        <v>1.3644214162348877E-2</v>
      </c>
    </row>
    <row r="71" spans="1:36">
      <c r="A71" s="336" t="s">
        <v>1014</v>
      </c>
      <c r="B71" s="107">
        <v>131997920.76000001</v>
      </c>
      <c r="C71" s="301">
        <v>1.4460309489089647E-2</v>
      </c>
      <c r="D71" s="295">
        <v>1988</v>
      </c>
      <c r="E71" s="301">
        <v>2.2890040299366723E-2</v>
      </c>
      <c r="F71" s="287"/>
      <c r="G71" s="107" t="s">
        <v>1025</v>
      </c>
      <c r="H71" s="107">
        <v>99242366.379999995</v>
      </c>
      <c r="I71" s="294">
        <v>1.0871954073380397E-2</v>
      </c>
      <c r="J71" s="295">
        <v>881</v>
      </c>
      <c r="K71" s="294">
        <v>1.0143926309729418E-2</v>
      </c>
    </row>
    <row r="72" spans="1:36">
      <c r="A72" s="336" t="s">
        <v>1015</v>
      </c>
      <c r="B72" s="107">
        <v>193042190.22</v>
      </c>
      <c r="C72" s="301">
        <v>2.1147680197996132E-2</v>
      </c>
      <c r="D72" s="295">
        <v>2874</v>
      </c>
      <c r="E72" s="301">
        <v>3.309153713298791E-2</v>
      </c>
      <c r="F72" s="288"/>
      <c r="G72" s="107" t="s">
        <v>1026</v>
      </c>
      <c r="H72" s="107">
        <v>6419037.8799999999</v>
      </c>
      <c r="I72" s="294">
        <v>7.0320254919589589E-4</v>
      </c>
      <c r="J72" s="295">
        <v>39</v>
      </c>
      <c r="K72" s="294">
        <v>4.4905008635578585E-4</v>
      </c>
    </row>
    <row r="73" spans="1:36">
      <c r="A73" s="336" t="s">
        <v>1016</v>
      </c>
      <c r="B73" s="107">
        <v>581302217.07000005</v>
      </c>
      <c r="C73" s="301">
        <v>6.3681381624258321E-2</v>
      </c>
      <c r="D73" s="295">
        <v>7473</v>
      </c>
      <c r="E73" s="301">
        <v>8.6044905008635583E-2</v>
      </c>
      <c r="F73" s="288"/>
      <c r="G73" s="107" t="s">
        <v>1027</v>
      </c>
      <c r="H73" s="107">
        <v>19115508.149999999</v>
      </c>
      <c r="I73" s="294">
        <v>2.0940948334542187E-3</v>
      </c>
      <c r="J73" s="295">
        <v>147</v>
      </c>
      <c r="K73" s="294">
        <v>1.692573402417962E-3</v>
      </c>
    </row>
    <row r="74" spans="1:36">
      <c r="A74" s="336" t="s">
        <v>1017</v>
      </c>
      <c r="B74" s="107">
        <v>377009222.95999998</v>
      </c>
      <c r="C74" s="301">
        <v>4.1301181206900107E-2</v>
      </c>
      <c r="D74" s="295">
        <v>4699</v>
      </c>
      <c r="E74" s="301">
        <v>5.410477835348302E-2</v>
      </c>
      <c r="F74" s="287"/>
      <c r="G74" s="107" t="s">
        <v>1028</v>
      </c>
      <c r="H74" s="107">
        <v>110946601.48</v>
      </c>
      <c r="I74" s="294">
        <v>1.2154147466311127E-2</v>
      </c>
      <c r="J74" s="295">
        <v>1005</v>
      </c>
      <c r="K74" s="294">
        <v>1.157167530224525E-2</v>
      </c>
    </row>
    <row r="75" spans="1:36">
      <c r="A75" s="336" t="s">
        <v>1018</v>
      </c>
      <c r="B75" s="107">
        <v>469075582.73000002</v>
      </c>
      <c r="C75" s="301">
        <v>5.1387007166451934E-2</v>
      </c>
      <c r="D75" s="295">
        <v>5307</v>
      </c>
      <c r="E75" s="301">
        <v>6.1105354058721938E-2</v>
      </c>
      <c r="F75" s="288"/>
      <c r="G75" s="107" t="s">
        <v>1029</v>
      </c>
      <c r="H75" s="107">
        <v>744165881.38</v>
      </c>
      <c r="I75" s="294">
        <v>8.1523018650736898E-2</v>
      </c>
      <c r="J75" s="295">
        <v>6436</v>
      </c>
      <c r="K75" s="294">
        <v>7.4104778353483017E-2</v>
      </c>
    </row>
    <row r="76" spans="1:36">
      <c r="A76" s="336" t="s">
        <v>1019</v>
      </c>
      <c r="B76" s="107">
        <v>954111270.12</v>
      </c>
      <c r="C76" s="301">
        <v>0.10452243621359002</v>
      </c>
      <c r="D76" s="295">
        <v>10012</v>
      </c>
      <c r="E76" s="301">
        <v>0.11527921704087507</v>
      </c>
      <c r="F76" s="288"/>
      <c r="G76" s="107" t="s">
        <v>710</v>
      </c>
      <c r="H76" s="107">
        <v>526552863.86000001</v>
      </c>
      <c r="I76" s="294">
        <v>5.7683615998968291E-2</v>
      </c>
      <c r="J76" s="295">
        <v>4502</v>
      </c>
      <c r="K76" s="294">
        <v>5.1836499712147384E-2</v>
      </c>
    </row>
    <row r="77" spans="1:36">
      <c r="A77" s="336" t="s">
        <v>1020</v>
      </c>
      <c r="B77" s="107">
        <v>807475743.69000006</v>
      </c>
      <c r="C77" s="301">
        <v>8.8458583979669547E-2</v>
      </c>
      <c r="D77" s="295">
        <v>7793</v>
      </c>
      <c r="E77" s="301">
        <v>8.9729418537708688E-2</v>
      </c>
      <c r="F77" s="287"/>
      <c r="G77" s="112" t="s">
        <v>954</v>
      </c>
      <c r="H77" s="112">
        <v>484997551.76999998</v>
      </c>
      <c r="I77" s="300">
        <v>5.3131251308090495E-2</v>
      </c>
      <c r="J77" s="737">
        <v>4422</v>
      </c>
      <c r="K77" s="300">
        <v>5.0915371329879104E-2</v>
      </c>
    </row>
    <row r="78" spans="1:36">
      <c r="A78" s="336" t="s">
        <v>1021</v>
      </c>
      <c r="B78" s="107">
        <v>1497580059.3399999</v>
      </c>
      <c r="C78" s="301">
        <v>0.16405918379668905</v>
      </c>
      <c r="D78" s="295">
        <v>13059</v>
      </c>
      <c r="E78" s="301">
        <v>0.15036269430051813</v>
      </c>
      <c r="F78" s="288"/>
      <c r="G78" s="107" t="s">
        <v>955</v>
      </c>
      <c r="H78" s="107">
        <v>6928865612.3100004</v>
      </c>
      <c r="I78" s="294">
        <v>0.75905393498194684</v>
      </c>
      <c r="J78" s="295">
        <v>67655</v>
      </c>
      <c r="K78" s="294">
        <v>0.77898675877950485</v>
      </c>
    </row>
    <row r="79" spans="1:36" ht="13.5" thickBot="1">
      <c r="A79" s="336" t="s">
        <v>1022</v>
      </c>
      <c r="B79" s="107">
        <v>776553634.48000002</v>
      </c>
      <c r="C79" s="301">
        <v>8.5071081611014593E-2</v>
      </c>
      <c r="D79" s="295">
        <v>6899</v>
      </c>
      <c r="E79" s="301">
        <v>7.9435808865860685E-2</v>
      </c>
      <c r="F79" s="111"/>
      <c r="G79" s="296" t="s">
        <v>803</v>
      </c>
      <c r="H79" s="113">
        <v>9128291538.960001</v>
      </c>
      <c r="I79" s="810">
        <v>1</v>
      </c>
      <c r="J79" s="334">
        <v>86850</v>
      </c>
      <c r="K79" s="810">
        <v>1</v>
      </c>
      <c r="L79" s="35"/>
      <c r="AA79" s="33"/>
      <c r="AB79" s="33"/>
      <c r="AC79" s="33"/>
      <c r="AD79" s="33"/>
      <c r="AE79" s="33"/>
      <c r="AF79" s="33"/>
      <c r="AG79" s="33"/>
      <c r="AH79" s="33"/>
      <c r="AI79" s="33"/>
      <c r="AJ79" s="33"/>
    </row>
    <row r="80" spans="1:36" ht="13.5" thickTop="1">
      <c r="A80" s="336" t="s">
        <v>1023</v>
      </c>
      <c r="B80" s="107">
        <v>950997469.34000003</v>
      </c>
      <c r="C80" s="301">
        <v>0.10418132081793136</v>
      </c>
      <c r="D80" s="295">
        <v>7818</v>
      </c>
      <c r="E80" s="301">
        <v>9.0017271157167525E-2</v>
      </c>
      <c r="F80" s="111"/>
      <c r="G80" s="35"/>
      <c r="H80" s="35"/>
      <c r="I80" s="35"/>
      <c r="J80" s="35"/>
      <c r="K80" s="35"/>
      <c r="L80" s="35"/>
      <c r="AA80" s="33"/>
      <c r="AB80" s="33"/>
      <c r="AC80" s="33"/>
      <c r="AD80" s="33"/>
      <c r="AE80" s="33"/>
      <c r="AF80" s="33"/>
      <c r="AG80" s="33"/>
      <c r="AH80" s="33"/>
      <c r="AI80" s="33"/>
      <c r="AJ80" s="33"/>
    </row>
    <row r="81" spans="1:36">
      <c r="A81" s="336" t="s">
        <v>1024</v>
      </c>
      <c r="B81" s="107">
        <v>1719807270.01</v>
      </c>
      <c r="C81" s="301">
        <v>0.18840406911520929</v>
      </c>
      <c r="D81" s="295">
        <v>13264</v>
      </c>
      <c r="E81" s="301">
        <v>0.15272308578008059</v>
      </c>
      <c r="F81" s="111"/>
      <c r="G81" s="35"/>
      <c r="H81" s="35"/>
      <c r="I81" s="35"/>
      <c r="J81" s="35"/>
      <c r="K81" s="35"/>
      <c r="L81" s="35"/>
      <c r="AA81" s="33"/>
      <c r="AB81" s="33"/>
      <c r="AC81" s="33"/>
      <c r="AD81" s="33"/>
      <c r="AE81" s="33"/>
      <c r="AF81" s="33"/>
      <c r="AG81" s="33"/>
      <c r="AH81" s="33"/>
      <c r="AI81" s="33"/>
      <c r="AJ81" s="33"/>
    </row>
    <row r="82" spans="1:36">
      <c r="A82" s="336" t="s">
        <v>1025</v>
      </c>
      <c r="B82" s="107">
        <v>159374834.72999999</v>
      </c>
      <c r="C82" s="301">
        <v>1.7459437404007128E-2</v>
      </c>
      <c r="D82" s="295">
        <v>1340</v>
      </c>
      <c r="E82" s="301">
        <v>1.5428900402993667E-2</v>
      </c>
      <c r="F82" s="111"/>
    </row>
    <row r="83" spans="1:36">
      <c r="A83" s="336" t="s">
        <v>1026</v>
      </c>
      <c r="B83" s="107">
        <v>302895769.42000002</v>
      </c>
      <c r="C83" s="301">
        <v>3.3182087592976833E-2</v>
      </c>
      <c r="D83" s="295">
        <v>2506</v>
      </c>
      <c r="E83" s="301">
        <v>2.8854346574553828E-2</v>
      </c>
      <c r="F83" s="111"/>
      <c r="G83" s="107"/>
      <c r="H83" s="107"/>
      <c r="I83" s="294"/>
      <c r="J83" s="295"/>
      <c r="K83" s="294"/>
    </row>
    <row r="84" spans="1:36">
      <c r="A84" s="336" t="s">
        <v>1027</v>
      </c>
      <c r="B84" s="107">
        <v>27202334.210000001</v>
      </c>
      <c r="C84" s="301">
        <v>2.9800027851760755E-3</v>
      </c>
      <c r="D84" s="295">
        <v>224</v>
      </c>
      <c r="E84" s="301">
        <v>2.57915947035118E-3</v>
      </c>
      <c r="F84" s="111"/>
    </row>
    <row r="85" spans="1:36">
      <c r="A85" s="336" t="s">
        <v>1028</v>
      </c>
      <c r="B85" s="107">
        <v>46180210.439999998</v>
      </c>
      <c r="C85" s="301">
        <v>5.0590201072019426E-3</v>
      </c>
      <c r="D85" s="295">
        <v>375</v>
      </c>
      <c r="E85" s="301">
        <v>4.3177892918825561E-3</v>
      </c>
      <c r="F85" s="111"/>
    </row>
    <row r="86" spans="1:36">
      <c r="A86" s="336" t="s">
        <v>1029</v>
      </c>
      <c r="B86" s="107">
        <v>131901401.81</v>
      </c>
      <c r="C86" s="301">
        <v>1.4449735883986429E-2</v>
      </c>
      <c r="D86" s="295">
        <v>1196</v>
      </c>
      <c r="E86" s="301">
        <v>1.3770869314910766E-2</v>
      </c>
      <c r="F86" s="111"/>
    </row>
    <row r="87" spans="1:36" ht="13.5" thickBot="1">
      <c r="A87" s="296" t="s">
        <v>803</v>
      </c>
      <c r="B87" s="113">
        <v>9128291538.9599991</v>
      </c>
      <c r="C87" s="297">
        <v>1</v>
      </c>
      <c r="D87" s="298">
        <v>86850</v>
      </c>
      <c r="E87" s="297">
        <v>1</v>
      </c>
      <c r="F87" s="288"/>
      <c r="G87" s="111"/>
    </row>
    <row r="88" spans="1:36" ht="13.5" thickTop="1">
      <c r="A88" s="273"/>
      <c r="E88" s="283"/>
      <c r="F88" s="288"/>
      <c r="G88" s="111"/>
    </row>
    <row r="89" spans="1:36">
      <c r="A89" s="273"/>
      <c r="E89" s="283"/>
      <c r="F89" s="288"/>
    </row>
    <row r="90" spans="1:36">
      <c r="A90" s="273"/>
      <c r="E90" s="283"/>
      <c r="F90" s="111"/>
    </row>
    <row r="91" spans="1:36">
      <c r="A91" s="273"/>
      <c r="E91" s="283"/>
      <c r="F91" s="111"/>
    </row>
    <row r="92" spans="1:36">
      <c r="A92" s="273"/>
      <c r="E92" s="283"/>
      <c r="F92" s="111"/>
    </row>
    <row r="93" spans="1:36" ht="15.75">
      <c r="A93" s="456" t="s">
        <v>1031</v>
      </c>
      <c r="B93" s="274"/>
      <c r="C93" s="302"/>
      <c r="D93" s="278"/>
      <c r="E93" s="302"/>
      <c r="F93" s="111"/>
      <c r="G93" s="456" t="s">
        <v>1009</v>
      </c>
      <c r="H93" s="107"/>
      <c r="I93" s="59"/>
      <c r="J93" s="107"/>
      <c r="K93" s="59"/>
    </row>
    <row r="94" spans="1:36">
      <c r="A94" s="303" t="s">
        <v>702</v>
      </c>
      <c r="B94" s="292" t="s">
        <v>943</v>
      </c>
      <c r="C94" s="293" t="s">
        <v>1010</v>
      </c>
      <c r="D94" s="292" t="s">
        <v>1011</v>
      </c>
      <c r="E94" s="293" t="s">
        <v>1010</v>
      </c>
      <c r="F94" s="111"/>
      <c r="G94" s="68" t="s">
        <v>1009</v>
      </c>
      <c r="H94" s="292" t="s">
        <v>943</v>
      </c>
      <c r="I94" s="293" t="s">
        <v>1010</v>
      </c>
      <c r="J94" s="292" t="s">
        <v>892</v>
      </c>
      <c r="K94" s="293" t="s">
        <v>1010</v>
      </c>
    </row>
    <row r="95" spans="1:36">
      <c r="A95" s="336" t="s">
        <v>1032</v>
      </c>
      <c r="B95" s="107">
        <v>361138.52</v>
      </c>
      <c r="C95" s="301">
        <v>3.9562553239962026E-5</v>
      </c>
      <c r="D95" s="295">
        <v>4</v>
      </c>
      <c r="E95" s="301">
        <v>4.6056419113413931E-5</v>
      </c>
      <c r="F95" s="111"/>
      <c r="G95" s="107" t="s">
        <v>257</v>
      </c>
      <c r="H95" s="107">
        <v>688380537.57000005</v>
      </c>
      <c r="I95" s="301">
        <v>7.5411760747556955E-2</v>
      </c>
      <c r="J95" s="295">
        <v>10503</v>
      </c>
      <c r="K95" s="301">
        <v>0.12093264248704663</v>
      </c>
    </row>
    <row r="96" spans="1:36">
      <c r="A96" s="336" t="s">
        <v>1033</v>
      </c>
      <c r="B96" s="107">
        <v>16949322.43</v>
      </c>
      <c r="C96" s="301">
        <v>1.8567902172777291E-3</v>
      </c>
      <c r="D96" s="295">
        <v>288</v>
      </c>
      <c r="E96" s="301">
        <v>3.3160621761658031E-3</v>
      </c>
      <c r="F96" s="111"/>
      <c r="G96" s="107" t="s">
        <v>258</v>
      </c>
      <c r="H96" s="107">
        <v>500415374.25</v>
      </c>
      <c r="I96" s="301">
        <v>5.482026643366969E-2</v>
      </c>
      <c r="J96" s="295">
        <v>6013</v>
      </c>
      <c r="K96" s="301">
        <v>6.9234312032239495E-2</v>
      </c>
    </row>
    <row r="97" spans="1:11">
      <c r="A97" s="336" t="s">
        <v>1034</v>
      </c>
      <c r="B97" s="107">
        <v>52935043.869999997</v>
      </c>
      <c r="C97" s="301">
        <v>5.7990088993181907E-3</v>
      </c>
      <c r="D97" s="295">
        <v>883</v>
      </c>
      <c r="E97" s="301">
        <v>1.0166954519286125E-2</v>
      </c>
      <c r="F97" s="111"/>
      <c r="G97" s="107" t="s">
        <v>259</v>
      </c>
      <c r="H97" s="107">
        <v>612922641.80999994</v>
      </c>
      <c r="I97" s="301">
        <v>6.7145384127360055E-2</v>
      </c>
      <c r="J97" s="295">
        <v>7022</v>
      </c>
      <c r="K97" s="301">
        <v>8.0852043753598155E-2</v>
      </c>
    </row>
    <row r="98" spans="1:11">
      <c r="A98" s="336" t="s">
        <v>1035</v>
      </c>
      <c r="B98" s="107">
        <v>78996110.870000005</v>
      </c>
      <c r="C98" s="301">
        <v>8.6539864040100674E-3</v>
      </c>
      <c r="D98" s="295">
        <v>1276</v>
      </c>
      <c r="E98" s="301">
        <v>1.4691997697179044E-2</v>
      </c>
      <c r="F98" s="111"/>
      <c r="G98" s="107" t="s">
        <v>260</v>
      </c>
      <c r="H98" s="107">
        <v>720137170.54999995</v>
      </c>
      <c r="I98" s="301">
        <v>7.8890684798619631E-2</v>
      </c>
      <c r="J98" s="295">
        <v>7445</v>
      </c>
      <c r="K98" s="301">
        <v>8.5722510074841676E-2</v>
      </c>
    </row>
    <row r="99" spans="1:11">
      <c r="A99" s="336" t="s">
        <v>1036</v>
      </c>
      <c r="B99" s="107">
        <v>96696911.659999996</v>
      </c>
      <c r="C99" s="301">
        <v>1.0593100718496201E-2</v>
      </c>
      <c r="D99" s="295">
        <v>1466</v>
      </c>
      <c r="E99" s="301">
        <v>1.6879677605066205E-2</v>
      </c>
      <c r="F99" s="111"/>
      <c r="G99" s="107" t="s">
        <v>261</v>
      </c>
      <c r="H99" s="107">
        <v>814680177.97000003</v>
      </c>
      <c r="I99" s="301">
        <v>8.9247826331236749E-2</v>
      </c>
      <c r="J99" s="295">
        <v>8037</v>
      </c>
      <c r="K99" s="301">
        <v>9.2538860103626941E-2</v>
      </c>
    </row>
    <row r="100" spans="1:11">
      <c r="A100" s="336" t="s">
        <v>1037</v>
      </c>
      <c r="B100" s="107">
        <v>117308579.59</v>
      </c>
      <c r="C100" s="301">
        <v>1.2851099144820379E-2</v>
      </c>
      <c r="D100" s="295">
        <v>1689</v>
      </c>
      <c r="E100" s="301">
        <v>1.9447322970639034E-2</v>
      </c>
      <c r="F100" s="111"/>
      <c r="G100" s="107" t="s">
        <v>262</v>
      </c>
      <c r="H100" s="107">
        <v>944681835.03999996</v>
      </c>
      <c r="I100" s="301">
        <v>0.10348944608178333</v>
      </c>
      <c r="J100" s="295">
        <v>8616</v>
      </c>
      <c r="K100" s="301">
        <v>9.9205526770293609E-2</v>
      </c>
    </row>
    <row r="101" spans="1:11">
      <c r="A101" s="336" t="s">
        <v>1038</v>
      </c>
      <c r="B101" s="107">
        <v>208456718.44</v>
      </c>
      <c r="C101" s="301">
        <v>2.2836334438957863E-2</v>
      </c>
      <c r="D101" s="295">
        <v>2874</v>
      </c>
      <c r="E101" s="301">
        <v>3.309153713298791E-2</v>
      </c>
      <c r="F101" s="111"/>
      <c r="G101" s="107" t="s">
        <v>263</v>
      </c>
      <c r="H101" s="107">
        <v>1116009674.3</v>
      </c>
      <c r="I101" s="301">
        <v>0.12225832945155349</v>
      </c>
      <c r="J101" s="295">
        <v>9464</v>
      </c>
      <c r="K101" s="301">
        <v>0.10896948762233737</v>
      </c>
    </row>
    <row r="102" spans="1:11">
      <c r="A102" s="336" t="s">
        <v>1039</v>
      </c>
      <c r="B102" s="107">
        <v>269753698.85000002</v>
      </c>
      <c r="C102" s="301">
        <v>2.9551389512339502E-2</v>
      </c>
      <c r="D102" s="295">
        <v>3413</v>
      </c>
      <c r="E102" s="301">
        <v>3.9297639608520438E-2</v>
      </c>
      <c r="F102" s="111"/>
      <c r="G102" s="107" t="s">
        <v>264</v>
      </c>
      <c r="H102" s="107">
        <v>1106475599.8699999</v>
      </c>
      <c r="I102" s="301">
        <v>0.1212138761286827</v>
      </c>
      <c r="J102" s="295">
        <v>9171</v>
      </c>
      <c r="K102" s="301">
        <v>0.1055958549222798</v>
      </c>
    </row>
    <row r="103" spans="1:11">
      <c r="A103" s="357" t="s">
        <v>1040</v>
      </c>
      <c r="B103" s="107">
        <v>267996641.83000001</v>
      </c>
      <c r="C103" s="301">
        <v>2.9358904750815307E-2</v>
      </c>
      <c r="D103" s="295">
        <v>3240</v>
      </c>
      <c r="E103" s="301">
        <v>3.7305699481865282E-2</v>
      </c>
      <c r="F103" s="111"/>
      <c r="G103" s="107" t="s">
        <v>265</v>
      </c>
      <c r="H103" s="107">
        <v>1038624713.65</v>
      </c>
      <c r="I103" s="301">
        <v>0.11378084378846777</v>
      </c>
      <c r="J103" s="295">
        <v>8022</v>
      </c>
      <c r="K103" s="301">
        <v>9.2366148531951645E-2</v>
      </c>
    </row>
    <row r="104" spans="1:11">
      <c r="A104" s="336" t="s">
        <v>779</v>
      </c>
      <c r="B104" s="107">
        <v>234998686.65000001</v>
      </c>
      <c r="C104" s="301">
        <v>2.5743994442663658E-2</v>
      </c>
      <c r="D104" s="295">
        <v>2811</v>
      </c>
      <c r="E104" s="301">
        <v>3.236614853195164E-2</v>
      </c>
      <c r="F104" s="111"/>
      <c r="G104" s="107" t="s">
        <v>266</v>
      </c>
      <c r="H104" s="107">
        <v>751602412.21000004</v>
      </c>
      <c r="I104" s="301">
        <v>8.233768706905599E-2</v>
      </c>
      <c r="J104" s="295">
        <v>5760</v>
      </c>
      <c r="K104" s="301">
        <v>6.6321243523316059E-2</v>
      </c>
    </row>
    <row r="105" spans="1:11">
      <c r="A105" s="336" t="s">
        <v>780</v>
      </c>
      <c r="B105" s="107">
        <v>246048433.38</v>
      </c>
      <c r="C105" s="301">
        <v>2.6954488945697345E-2</v>
      </c>
      <c r="D105" s="295">
        <v>2843</v>
      </c>
      <c r="E105" s="301">
        <v>3.2734599884858953E-2</v>
      </c>
      <c r="F105" s="111"/>
      <c r="G105" s="107" t="s">
        <v>267</v>
      </c>
      <c r="H105" s="107">
        <v>353011675.04000002</v>
      </c>
      <c r="I105" s="301">
        <v>3.8672261236763601E-2</v>
      </c>
      <c r="J105" s="295">
        <v>2796</v>
      </c>
      <c r="K105" s="301">
        <v>3.2193436960276337E-2</v>
      </c>
    </row>
    <row r="106" spans="1:11">
      <c r="A106" s="336" t="s">
        <v>781</v>
      </c>
      <c r="B106" s="107">
        <v>349462876.39999998</v>
      </c>
      <c r="C106" s="301">
        <v>3.8283492032268579E-2</v>
      </c>
      <c r="D106" s="295">
        <v>3909</v>
      </c>
      <c r="E106" s="301">
        <v>4.5008635578583762E-2</v>
      </c>
      <c r="F106" s="111"/>
      <c r="G106" s="112" t="s">
        <v>268</v>
      </c>
      <c r="H106" s="107">
        <v>173498504.40000001</v>
      </c>
      <c r="I106" s="301">
        <v>1.9006678704278867E-2</v>
      </c>
      <c r="J106" s="295">
        <v>1395</v>
      </c>
      <c r="K106" s="301">
        <v>1.6062176165803108E-2</v>
      </c>
    </row>
    <row r="107" spans="1:11">
      <c r="A107" s="336" t="s">
        <v>782</v>
      </c>
      <c r="B107" s="107">
        <v>405947152.61000001</v>
      </c>
      <c r="C107" s="301">
        <v>4.4471317647710673E-2</v>
      </c>
      <c r="D107" s="295">
        <v>4310</v>
      </c>
      <c r="E107" s="301">
        <v>4.9625791594703511E-2</v>
      </c>
      <c r="F107" s="111"/>
      <c r="G107" s="107" t="s">
        <v>792</v>
      </c>
      <c r="H107" s="107">
        <v>132986517.61</v>
      </c>
      <c r="I107" s="301">
        <v>1.4568609804190296E-2</v>
      </c>
      <c r="J107" s="295">
        <v>1081</v>
      </c>
      <c r="K107" s="301">
        <v>1.2446747265400114E-2</v>
      </c>
    </row>
    <row r="108" spans="1:11">
      <c r="A108" s="336" t="s">
        <v>238</v>
      </c>
      <c r="B108" s="107">
        <v>409311955.30000001</v>
      </c>
      <c r="C108" s="301">
        <v>4.4839930183324689E-2</v>
      </c>
      <c r="D108" s="295">
        <v>4031</v>
      </c>
      <c r="E108" s="301">
        <v>4.6413356361542889E-2</v>
      </c>
      <c r="F108" s="111"/>
      <c r="G108" s="107" t="s">
        <v>793</v>
      </c>
      <c r="H108" s="107">
        <v>79004879.840000004</v>
      </c>
      <c r="I108" s="301">
        <v>8.6549470405062386E-3</v>
      </c>
      <c r="J108" s="295">
        <v>682</v>
      </c>
      <c r="K108" s="301">
        <v>7.8526194588370759E-3</v>
      </c>
    </row>
    <row r="109" spans="1:11">
      <c r="A109" s="336" t="s">
        <v>239</v>
      </c>
      <c r="B109" s="107">
        <v>382542298.35000002</v>
      </c>
      <c r="C109" s="301">
        <v>4.1907326986357789E-2</v>
      </c>
      <c r="D109" s="295">
        <v>3792</v>
      </c>
      <c r="E109" s="301">
        <v>4.3661485319516406E-2</v>
      </c>
      <c r="F109" s="111"/>
      <c r="G109" s="107" t="s">
        <v>794</v>
      </c>
      <c r="H109" s="107">
        <v>69681137.700000003</v>
      </c>
      <c r="I109" s="301">
        <v>7.6335355200474759E-3</v>
      </c>
      <c r="J109" s="295">
        <v>596</v>
      </c>
      <c r="K109" s="301">
        <v>6.8624064478986762E-3</v>
      </c>
    </row>
    <row r="110" spans="1:11">
      <c r="A110" s="336" t="s">
        <v>240</v>
      </c>
      <c r="B110" s="107">
        <v>405797914.75</v>
      </c>
      <c r="C110" s="301">
        <v>4.445496871107088E-2</v>
      </c>
      <c r="D110" s="295">
        <v>3909</v>
      </c>
      <c r="E110" s="301">
        <v>4.5008635578583762E-2</v>
      </c>
      <c r="F110" s="111"/>
      <c r="G110" s="107" t="s">
        <v>795</v>
      </c>
      <c r="H110" s="107">
        <v>24032520</v>
      </c>
      <c r="I110" s="301">
        <v>2.6327511448805082E-3</v>
      </c>
      <c r="J110" s="295">
        <v>218</v>
      </c>
      <c r="K110" s="301">
        <v>2.5100748416810592E-3</v>
      </c>
    </row>
    <row r="111" spans="1:11" ht="12.75" customHeight="1">
      <c r="A111" s="336" t="s">
        <v>241</v>
      </c>
      <c r="B111" s="107">
        <v>590428760.99000001</v>
      </c>
      <c r="C111" s="301">
        <v>6.4681190173431755E-2</v>
      </c>
      <c r="D111" s="295">
        <v>5407</v>
      </c>
      <c r="E111" s="301">
        <v>6.2256764536557284E-2</v>
      </c>
      <c r="F111" s="111"/>
      <c r="G111" s="107" t="s">
        <v>796</v>
      </c>
      <c r="H111" s="107">
        <v>799461.16</v>
      </c>
      <c r="I111" s="301">
        <v>8.7580590145248992E-5</v>
      </c>
      <c r="J111" s="295">
        <v>13</v>
      </c>
      <c r="K111" s="301">
        <v>1.4968336211859529E-4</v>
      </c>
    </row>
    <row r="112" spans="1:11">
      <c r="A112" s="336" t="s">
        <v>242</v>
      </c>
      <c r="B112" s="107">
        <v>676654156.10000002</v>
      </c>
      <c r="C112" s="301">
        <v>7.4127141230317453E-2</v>
      </c>
      <c r="D112" s="295">
        <v>5868</v>
      </c>
      <c r="E112" s="301">
        <v>6.7564766839378232E-2</v>
      </c>
      <c r="F112" s="111"/>
      <c r="G112" s="107" t="s">
        <v>711</v>
      </c>
      <c r="H112" s="107">
        <v>323361.63</v>
      </c>
      <c r="I112" s="301">
        <v>3.5424112893401413E-5</v>
      </c>
      <c r="J112" s="295">
        <v>4</v>
      </c>
      <c r="K112" s="301">
        <v>4.6056419113413931E-5</v>
      </c>
    </row>
    <row r="113" spans="1:11">
      <c r="A113" s="336" t="s">
        <v>243</v>
      </c>
      <c r="B113" s="107">
        <v>619236320.32000005</v>
      </c>
      <c r="C113" s="301">
        <v>6.7837044607643018E-2</v>
      </c>
      <c r="D113" s="295">
        <v>5239</v>
      </c>
      <c r="E113" s="301">
        <v>6.0322394933793898E-2</v>
      </c>
      <c r="F113" s="111"/>
      <c r="G113" s="107" t="s">
        <v>712</v>
      </c>
      <c r="H113" s="107">
        <v>1023344.36</v>
      </c>
      <c r="I113" s="301">
        <v>1.1210688830788495E-4</v>
      </c>
      <c r="J113" s="295">
        <v>12</v>
      </c>
      <c r="K113" s="301">
        <v>1.3816925734024181E-4</v>
      </c>
    </row>
    <row r="114" spans="1:11" ht="13.5" thickBot="1">
      <c r="A114" s="336" t="s">
        <v>244</v>
      </c>
      <c r="B114" s="107">
        <v>565607792.02999997</v>
      </c>
      <c r="C114" s="301">
        <v>6.1962064819682604E-2</v>
      </c>
      <c r="D114" s="295">
        <v>4897</v>
      </c>
      <c r="E114" s="301">
        <v>5.6384571099597006E-2</v>
      </c>
      <c r="F114" s="111"/>
      <c r="G114" s="296" t="s">
        <v>803</v>
      </c>
      <c r="H114" s="113">
        <v>9128291538.960001</v>
      </c>
      <c r="I114" s="297">
        <v>1</v>
      </c>
      <c r="J114" s="298">
        <v>86850</v>
      </c>
      <c r="K114" s="297">
        <v>1</v>
      </c>
    </row>
    <row r="115" spans="1:11" ht="13.5" thickTop="1">
      <c r="A115" s="336" t="s">
        <v>245</v>
      </c>
      <c r="B115" s="107">
        <v>527290220.63999999</v>
      </c>
      <c r="C115" s="301">
        <v>5.7764393083798764E-2</v>
      </c>
      <c r="D115" s="295">
        <v>4355</v>
      </c>
      <c r="E115" s="301">
        <v>5.0143926309729421E-2</v>
      </c>
      <c r="F115" s="111"/>
    </row>
    <row r="116" spans="1:11">
      <c r="A116" s="336" t="s">
        <v>246</v>
      </c>
      <c r="B116" s="107">
        <v>780214218.12</v>
      </c>
      <c r="C116" s="301">
        <v>8.5472096809135298E-2</v>
      </c>
      <c r="D116" s="295">
        <v>6160</v>
      </c>
      <c r="E116" s="301">
        <v>7.0926885434657458E-2</v>
      </c>
      <c r="F116" s="111"/>
    </row>
    <row r="117" spans="1:11">
      <c r="A117" s="336" t="s">
        <v>247</v>
      </c>
      <c r="B117" s="107">
        <v>632067860.49000001</v>
      </c>
      <c r="C117" s="301">
        <v>6.9242733735256259E-2</v>
      </c>
      <c r="D117" s="295">
        <v>4746</v>
      </c>
      <c r="E117" s="301">
        <v>5.464594127806563E-2</v>
      </c>
      <c r="F117" s="111"/>
    </row>
    <row r="118" spans="1:11">
      <c r="A118" s="336" t="s">
        <v>248</v>
      </c>
      <c r="B118" s="107">
        <v>446009574.25</v>
      </c>
      <c r="C118" s="301">
        <v>4.8860136899266299E-2</v>
      </c>
      <c r="D118" s="295">
        <v>3229</v>
      </c>
      <c r="E118" s="301">
        <v>3.7179044329303398E-2</v>
      </c>
      <c r="F118" s="111"/>
    </row>
    <row r="119" spans="1:11">
      <c r="A119" s="336" t="s">
        <v>249</v>
      </c>
      <c r="B119" s="107">
        <v>134114605.90000001</v>
      </c>
      <c r="C119" s="301">
        <v>1.4692191340251589E-2</v>
      </c>
      <c r="D119" s="295">
        <v>1041</v>
      </c>
      <c r="E119" s="301">
        <v>1.1986183074265976E-2</v>
      </c>
      <c r="F119" s="111"/>
    </row>
    <row r="120" spans="1:11">
      <c r="A120" s="336" t="s">
        <v>250</v>
      </c>
      <c r="B120" s="107">
        <v>82132195.010000005</v>
      </c>
      <c r="C120" s="301">
        <v>8.9975429311668787E-3</v>
      </c>
      <c r="D120" s="295">
        <v>714</v>
      </c>
      <c r="E120" s="301">
        <v>8.2210708117443874E-3</v>
      </c>
      <c r="F120" s="111"/>
    </row>
    <row r="121" spans="1:11">
      <c r="A121" s="336" t="s">
        <v>251</v>
      </c>
      <c r="B121" s="107">
        <v>124864760.62</v>
      </c>
      <c r="C121" s="301">
        <v>1.3678875185687375E-2</v>
      </c>
      <c r="D121" s="295">
        <v>1055</v>
      </c>
      <c r="E121" s="301">
        <v>1.2147380541162925E-2</v>
      </c>
      <c r="F121" s="111"/>
    </row>
    <row r="122" spans="1:11">
      <c r="A122" s="336" t="s">
        <v>252</v>
      </c>
      <c r="B122" s="107">
        <v>104932049.69</v>
      </c>
      <c r="C122" s="301">
        <v>1.1495256176048364E-2</v>
      </c>
      <c r="D122" s="295">
        <v>832</v>
      </c>
      <c r="E122" s="301">
        <v>9.5797351755900987E-3</v>
      </c>
      <c r="F122" s="111"/>
    </row>
    <row r="123" spans="1:11">
      <c r="A123" s="336" t="s">
        <v>253</v>
      </c>
      <c r="B123" s="107">
        <v>88646724.430000007</v>
      </c>
      <c r="C123" s="301">
        <v>9.7112065331887536E-3</v>
      </c>
      <c r="D123" s="295">
        <v>727</v>
      </c>
      <c r="E123" s="301">
        <v>8.3707541738629824E-3</v>
      </c>
      <c r="F123" s="111"/>
    </row>
    <row r="124" spans="1:11" ht="12.75" customHeight="1">
      <c r="A124" s="336" t="s">
        <v>254</v>
      </c>
      <c r="B124" s="107">
        <v>34168318.93</v>
      </c>
      <c r="C124" s="301">
        <v>3.7431231007651225E-3</v>
      </c>
      <c r="D124" s="295">
        <v>274</v>
      </c>
      <c r="E124" s="301">
        <v>3.1548647092688544E-3</v>
      </c>
      <c r="F124" s="111"/>
    </row>
    <row r="125" spans="1:11">
      <c r="A125" s="336" t="s">
        <v>255</v>
      </c>
      <c r="B125" s="107">
        <v>26030562.440000001</v>
      </c>
      <c r="C125" s="301">
        <v>2.8516357446407431E-3</v>
      </c>
      <c r="D125" s="295">
        <v>225</v>
      </c>
      <c r="E125" s="301">
        <v>2.5906735751295338E-3</v>
      </c>
      <c r="F125" s="111"/>
    </row>
    <row r="126" spans="1:11">
      <c r="A126" s="336" t="s">
        <v>256</v>
      </c>
      <c r="B126" s="107">
        <v>49709863.93</v>
      </c>
      <c r="C126" s="301">
        <v>5.4456919696129142E-3</v>
      </c>
      <c r="D126" s="295">
        <v>459</v>
      </c>
      <c r="E126" s="301">
        <v>5.2849740932642483E-3</v>
      </c>
      <c r="F126" s="111"/>
    </row>
    <row r="127" spans="1:11">
      <c r="A127" s="336" t="s">
        <v>938</v>
      </c>
      <c r="B127" s="278">
        <v>46155347.75</v>
      </c>
      <c r="C127" s="302">
        <v>5.0562964113280862E-3</v>
      </c>
      <c r="D127" s="319">
        <v>389</v>
      </c>
      <c r="E127" s="302">
        <v>4.4789867587795053E-3</v>
      </c>
      <c r="F127" s="111"/>
      <c r="G127" s="111"/>
    </row>
    <row r="128" spans="1:11">
      <c r="A128" s="336" t="s">
        <v>942</v>
      </c>
      <c r="B128" s="278">
        <v>46565350.5</v>
      </c>
      <c r="C128" s="302">
        <v>5.1012120177425062E-3</v>
      </c>
      <c r="D128" s="319">
        <v>409</v>
      </c>
      <c r="E128" s="302">
        <v>4.7092688543465743E-3</v>
      </c>
      <c r="F128" s="111"/>
      <c r="G128" s="111"/>
    </row>
    <row r="129" spans="1:36" ht="13.5" thickBot="1">
      <c r="A129" s="336" t="s">
        <v>417</v>
      </c>
      <c r="B129" s="811">
        <v>9899373.3200000003</v>
      </c>
      <c r="C129" s="645">
        <v>1.0844716426670841E-3</v>
      </c>
      <c r="D129" s="812">
        <v>86</v>
      </c>
      <c r="E129" s="645">
        <v>9.9021301093839948E-4</v>
      </c>
      <c r="F129" s="111"/>
      <c r="G129" s="111"/>
    </row>
    <row r="130" spans="1:36" ht="14.25" thickTop="1" thickBot="1">
      <c r="A130" s="296" t="s">
        <v>803</v>
      </c>
      <c r="B130" s="113">
        <v>9128291538.9600029</v>
      </c>
      <c r="C130" s="297">
        <v>1</v>
      </c>
      <c r="D130" s="298">
        <v>86850</v>
      </c>
      <c r="E130" s="297">
        <v>1</v>
      </c>
      <c r="F130" s="111"/>
    </row>
    <row r="131" spans="1:36" ht="13.5" thickTop="1">
      <c r="F131" s="111"/>
      <c r="G131" s="111"/>
    </row>
    <row r="132" spans="1:36">
      <c r="A132" s="273"/>
      <c r="E132" s="283"/>
      <c r="F132" s="111"/>
    </row>
    <row r="133" spans="1:36" ht="12.75" customHeight="1">
      <c r="A133" s="273"/>
      <c r="E133" s="283"/>
      <c r="F133" s="111"/>
    </row>
    <row r="134" spans="1:36">
      <c r="A134" s="273"/>
      <c r="B134" s="274"/>
      <c r="C134" s="302"/>
      <c r="D134" s="278"/>
      <c r="E134" s="302"/>
    </row>
    <row r="135" spans="1:36">
      <c r="A135" s="273"/>
      <c r="B135" s="274"/>
      <c r="C135" s="302"/>
      <c r="D135" s="278"/>
      <c r="E135" s="302"/>
      <c r="F135" s="111"/>
    </row>
    <row r="136" spans="1:36" ht="12.75" customHeight="1">
      <c r="A136" s="455" t="s">
        <v>797</v>
      </c>
      <c r="B136" s="274"/>
      <c r="C136" s="302"/>
      <c r="D136" s="278"/>
      <c r="E136" s="302"/>
      <c r="F136" s="111"/>
      <c r="G136" s="456" t="s">
        <v>701</v>
      </c>
      <c r="H136" s="107"/>
      <c r="I136" s="59"/>
      <c r="J136" s="107"/>
      <c r="K136" s="283"/>
    </row>
    <row r="137" spans="1:36" s="46" customFormat="1" ht="25.5">
      <c r="A137" s="291" t="s">
        <v>798</v>
      </c>
      <c r="B137" s="292" t="s">
        <v>944</v>
      </c>
      <c r="C137" s="293" t="s">
        <v>1010</v>
      </c>
      <c r="D137" s="292" t="s">
        <v>892</v>
      </c>
      <c r="E137" s="293" t="s">
        <v>1010</v>
      </c>
      <c r="F137" s="57"/>
      <c r="G137" s="823"/>
      <c r="H137" s="292" t="s">
        <v>943</v>
      </c>
      <c r="I137" s="293" t="s">
        <v>1010</v>
      </c>
      <c r="J137" s="292" t="s">
        <v>1011</v>
      </c>
      <c r="K137" s="293" t="s">
        <v>1010</v>
      </c>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36" ht="12.75" customHeight="1">
      <c r="A138" s="107" t="s">
        <v>63</v>
      </c>
      <c r="B138" s="107">
        <v>656967834.13</v>
      </c>
      <c r="C138" s="294">
        <v>7.1970514014153567E-2</v>
      </c>
      <c r="D138" s="295">
        <v>6543</v>
      </c>
      <c r="E138" s="294">
        <v>7.5336787564766833E-2</v>
      </c>
      <c r="G138" s="287" t="s">
        <v>874</v>
      </c>
      <c r="H138" s="358">
        <v>444645071.69</v>
      </c>
      <c r="I138" s="300">
        <v>4.8710656292279109E-2</v>
      </c>
      <c r="J138" s="359">
        <v>4859</v>
      </c>
      <c r="K138" s="300">
        <v>5.5947035118019572E-2</v>
      </c>
    </row>
    <row r="139" spans="1:36" ht="12.75" customHeight="1">
      <c r="A139" s="107" t="s">
        <v>64</v>
      </c>
      <c r="B139" s="107">
        <v>471687916.60000002</v>
      </c>
      <c r="C139" s="294">
        <v>5.1673187100435246E-2</v>
      </c>
      <c r="D139" s="295">
        <v>5281</v>
      </c>
      <c r="E139" s="294">
        <v>6.0805987334484744E-2</v>
      </c>
      <c r="G139" s="288" t="s">
        <v>875</v>
      </c>
      <c r="H139" s="304">
        <v>3260543034.1799998</v>
      </c>
      <c r="I139" s="294">
        <v>0.35719093986687883</v>
      </c>
      <c r="J139" s="305">
        <v>24261</v>
      </c>
      <c r="K139" s="294">
        <v>0.27934369602763387</v>
      </c>
    </row>
    <row r="140" spans="1:36" ht="12.75" customHeight="1">
      <c r="A140" s="107" t="s">
        <v>65</v>
      </c>
      <c r="B140" s="107">
        <v>989958241.69000006</v>
      </c>
      <c r="C140" s="294">
        <v>0.10844945491331093</v>
      </c>
      <c r="D140" s="295">
        <v>6251</v>
      </c>
      <c r="E140" s="294">
        <v>7.1974668969487621E-2</v>
      </c>
      <c r="G140" s="288" t="s">
        <v>876</v>
      </c>
      <c r="H140" s="304">
        <v>853079935.70000005</v>
      </c>
      <c r="I140" s="294">
        <v>9.3454501541609697E-2</v>
      </c>
      <c r="J140" s="305">
        <v>7963</v>
      </c>
      <c r="K140" s="294">
        <v>9.1686816350028788E-2</v>
      </c>
    </row>
    <row r="141" spans="1:36">
      <c r="A141" s="107" t="s">
        <v>66</v>
      </c>
      <c r="B141" s="107">
        <v>285344967.13999999</v>
      </c>
      <c r="C141" s="294">
        <v>3.12594055439765E-2</v>
      </c>
      <c r="D141" s="295">
        <v>3577</v>
      </c>
      <c r="E141" s="294">
        <v>4.118595279217041E-2</v>
      </c>
      <c r="G141" s="288" t="s">
        <v>877</v>
      </c>
      <c r="H141" s="304">
        <v>2760083364.1999998</v>
      </c>
      <c r="I141" s="294">
        <v>0.30236582085703856</v>
      </c>
      <c r="J141" s="305">
        <v>29217</v>
      </c>
      <c r="K141" s="294">
        <v>0.3364075993091537</v>
      </c>
    </row>
    <row r="142" spans="1:36">
      <c r="A142" s="107" t="s">
        <v>67</v>
      </c>
      <c r="B142" s="107">
        <v>757632022.37</v>
      </c>
      <c r="C142" s="294">
        <v>8.299822799659598E-2</v>
      </c>
      <c r="D142" s="295">
        <v>8561</v>
      </c>
      <c r="E142" s="294">
        <v>9.8572251007484166E-2</v>
      </c>
      <c r="G142" s="288" t="s">
        <v>878</v>
      </c>
      <c r="H142" s="304">
        <v>1809940133.1900001</v>
      </c>
      <c r="I142" s="294">
        <v>0.19827808144219389</v>
      </c>
      <c r="J142" s="305">
        <v>20550</v>
      </c>
      <c r="K142" s="294">
        <v>0.23661485319516407</v>
      </c>
    </row>
    <row r="143" spans="1:36" ht="13.5" thickBot="1">
      <c r="A143" s="107" t="s">
        <v>68</v>
      </c>
      <c r="B143" s="107">
        <v>244813595.69999999</v>
      </c>
      <c r="C143" s="294">
        <v>2.6819213064692718E-2</v>
      </c>
      <c r="D143" s="295">
        <v>2926</v>
      </c>
      <c r="E143" s="294">
        <v>3.3690270581462289E-2</v>
      </c>
      <c r="G143" s="296" t="s">
        <v>803</v>
      </c>
      <c r="H143" s="113">
        <v>9128291538.9599991</v>
      </c>
      <c r="I143" s="297">
        <v>1</v>
      </c>
      <c r="J143" s="298">
        <v>86850</v>
      </c>
      <c r="K143" s="297">
        <v>1</v>
      </c>
    </row>
    <row r="144" spans="1:36" ht="13.5" thickTop="1">
      <c r="A144" s="107" t="s">
        <v>69</v>
      </c>
      <c r="B144" s="107">
        <v>3444992037.1999998</v>
      </c>
      <c r="C144" s="294">
        <v>0.37739724049090717</v>
      </c>
      <c r="D144" s="295">
        <v>28733</v>
      </c>
      <c r="E144" s="294">
        <v>0.33083477259643063</v>
      </c>
    </row>
    <row r="145" spans="1:12">
      <c r="A145" s="107" t="s">
        <v>70</v>
      </c>
      <c r="B145" s="107">
        <v>772833304.80999994</v>
      </c>
      <c r="C145" s="294">
        <v>8.4663521263700789E-2</v>
      </c>
      <c r="D145" s="295">
        <v>7673</v>
      </c>
      <c r="E145" s="294">
        <v>8.8347725964306276E-2</v>
      </c>
    </row>
    <row r="146" spans="1:12">
      <c r="A146" s="107" t="s">
        <v>71</v>
      </c>
      <c r="B146" s="107">
        <v>357789804.79000002</v>
      </c>
      <c r="C146" s="294">
        <v>3.919570308013668E-2</v>
      </c>
      <c r="D146" s="295">
        <v>4358</v>
      </c>
      <c r="E146" s="294">
        <v>5.0178468624064478E-2</v>
      </c>
      <c r="G146" s="57"/>
      <c r="H146" s="57"/>
      <c r="I146" s="57"/>
    </row>
    <row r="147" spans="1:12">
      <c r="A147" s="107" t="s">
        <v>72</v>
      </c>
      <c r="B147" s="107">
        <v>625346323.87</v>
      </c>
      <c r="C147" s="294">
        <v>6.8506392592851684E-2</v>
      </c>
      <c r="D147" s="295">
        <v>6851</v>
      </c>
      <c r="E147" s="294">
        <v>7.8883131836499712E-2</v>
      </c>
      <c r="F147" s="309"/>
      <c r="G147" s="57"/>
      <c r="H147" s="57"/>
      <c r="I147" s="57"/>
    </row>
    <row r="148" spans="1:12">
      <c r="A148" s="107" t="s">
        <v>73</v>
      </c>
      <c r="B148" s="107">
        <v>520925490.66000003</v>
      </c>
      <c r="C148" s="294">
        <v>5.7067139939238828E-2</v>
      </c>
      <c r="D148" s="295">
        <v>6096</v>
      </c>
      <c r="E148" s="294">
        <v>7.0189982728842831E-2</v>
      </c>
      <c r="F148" s="276"/>
      <c r="G148" s="111"/>
      <c r="H148" s="111"/>
      <c r="I148" s="111"/>
    </row>
    <row r="149" spans="1:12" ht="13.5" thickBot="1">
      <c r="A149" s="296" t="s">
        <v>803</v>
      </c>
      <c r="B149" s="113">
        <v>9128291538.9599991</v>
      </c>
      <c r="C149" s="297">
        <v>1</v>
      </c>
      <c r="D149" s="298">
        <v>86850</v>
      </c>
      <c r="E149" s="297">
        <v>1</v>
      </c>
      <c r="G149" s="111"/>
      <c r="H149" s="111"/>
      <c r="I149" s="111"/>
    </row>
    <row r="150" spans="1:12" ht="13.5" thickTop="1">
      <c r="A150" s="296"/>
      <c r="B150" s="328"/>
      <c r="C150" s="302"/>
      <c r="D150" s="329"/>
      <c r="E150" s="302"/>
      <c r="G150" s="111"/>
      <c r="H150" s="111"/>
      <c r="I150" s="111"/>
    </row>
    <row r="151" spans="1:12">
      <c r="A151" s="296"/>
      <c r="B151" s="328"/>
      <c r="C151" s="302"/>
      <c r="D151" s="329"/>
      <c r="E151" s="302"/>
      <c r="G151" s="111"/>
      <c r="H151" s="111"/>
      <c r="I151" s="111"/>
    </row>
    <row r="152" spans="1:12">
      <c r="A152" s="296"/>
      <c r="B152" s="328"/>
      <c r="C152" s="302"/>
      <c r="D152" s="329"/>
      <c r="E152" s="302"/>
      <c r="G152" s="111"/>
      <c r="H152" s="111"/>
      <c r="I152" s="111"/>
    </row>
    <row r="153" spans="1:12">
      <c r="C153" s="301"/>
      <c r="E153" s="301"/>
      <c r="F153" s="57"/>
    </row>
    <row r="154" spans="1:12" ht="15.75">
      <c r="A154" s="456" t="s">
        <v>799</v>
      </c>
      <c r="B154" s="314"/>
      <c r="C154" s="315"/>
      <c r="D154" s="314"/>
      <c r="E154" s="315"/>
      <c r="F154" s="35"/>
      <c r="G154" s="456" t="s">
        <v>804</v>
      </c>
      <c r="H154" s="278"/>
      <c r="I154" s="302"/>
      <c r="J154" s="319"/>
      <c r="K154" s="302"/>
    </row>
    <row r="155" spans="1:12" ht="25.5">
      <c r="A155" s="316" t="s">
        <v>800</v>
      </c>
      <c r="B155" s="292" t="s">
        <v>943</v>
      </c>
      <c r="C155" s="293" t="s">
        <v>1010</v>
      </c>
      <c r="D155" s="292" t="s">
        <v>892</v>
      </c>
      <c r="E155" s="293" t="s">
        <v>1010</v>
      </c>
      <c r="F155" s="312"/>
      <c r="G155" s="323" t="s">
        <v>805</v>
      </c>
      <c r="H155" s="292" t="s">
        <v>943</v>
      </c>
      <c r="I155" s="293" t="s">
        <v>1010</v>
      </c>
      <c r="J155" s="324" t="s">
        <v>1011</v>
      </c>
      <c r="K155" s="293" t="s">
        <v>1010</v>
      </c>
    </row>
    <row r="156" spans="1:12">
      <c r="A156" s="695" t="s">
        <v>893</v>
      </c>
      <c r="B156" s="107">
        <v>189822829.31</v>
      </c>
      <c r="C156" s="301">
        <v>2.0795000740261943E-2</v>
      </c>
      <c r="D156" s="295">
        <v>5151</v>
      </c>
      <c r="E156" s="301">
        <v>5.9309153713298791E-2</v>
      </c>
      <c r="F156" s="35"/>
      <c r="G156" s="695" t="s">
        <v>893</v>
      </c>
      <c r="H156" s="696">
        <v>189822829.31</v>
      </c>
      <c r="I156" s="325">
        <v>2.0795000740261943E-2</v>
      </c>
      <c r="J156" s="295">
        <v>5151</v>
      </c>
      <c r="K156" s="325">
        <v>5.9309153713298791E-2</v>
      </c>
    </row>
    <row r="157" spans="1:12" ht="13.5" customHeight="1">
      <c r="A157" s="695" t="s">
        <v>894</v>
      </c>
      <c r="B157" s="107">
        <v>530235919.11000001</v>
      </c>
      <c r="C157" s="301">
        <v>5.8087092951285238E-2</v>
      </c>
      <c r="D157" s="295">
        <v>9267</v>
      </c>
      <c r="E157" s="301">
        <v>0.10670120898100173</v>
      </c>
      <c r="F157" s="312"/>
      <c r="G157" s="695" t="s">
        <v>894</v>
      </c>
      <c r="H157" s="696">
        <v>530235919.11000001</v>
      </c>
      <c r="I157" s="325">
        <v>5.8087092951285238E-2</v>
      </c>
      <c r="J157" s="295">
        <v>9267</v>
      </c>
      <c r="K157" s="325">
        <v>0.10670120898100173</v>
      </c>
    </row>
    <row r="158" spans="1:12" ht="13.5" customHeight="1">
      <c r="A158" s="695" t="s">
        <v>895</v>
      </c>
      <c r="B158" s="107">
        <v>934158174.39999998</v>
      </c>
      <c r="C158" s="301">
        <v>0.1023365840598941</v>
      </c>
      <c r="D158" s="295">
        <v>12621</v>
      </c>
      <c r="E158" s="301">
        <v>0.1453195164075993</v>
      </c>
      <c r="F158" s="35"/>
      <c r="G158" s="695" t="s">
        <v>895</v>
      </c>
      <c r="H158" s="696">
        <v>934158174.39999998</v>
      </c>
      <c r="I158" s="325">
        <v>0.1023365840598941</v>
      </c>
      <c r="J158" s="295">
        <v>12621</v>
      </c>
      <c r="K158" s="325">
        <v>0.1453195164075993</v>
      </c>
    </row>
    <row r="159" spans="1:12" ht="13.5" customHeight="1">
      <c r="A159" s="695" t="s">
        <v>896</v>
      </c>
      <c r="B159" s="107">
        <v>1316323117.5799999</v>
      </c>
      <c r="C159" s="301">
        <v>0.14420257196671116</v>
      </c>
      <c r="D159" s="295">
        <v>14189</v>
      </c>
      <c r="E159" s="301">
        <v>0.16337363270005756</v>
      </c>
      <c r="F159" s="311"/>
      <c r="G159" s="695" t="s">
        <v>896</v>
      </c>
      <c r="H159" s="696">
        <v>1316323117.5799999</v>
      </c>
      <c r="I159" s="325">
        <v>0.14420257196671116</v>
      </c>
      <c r="J159" s="295">
        <v>14189</v>
      </c>
      <c r="K159" s="325">
        <v>0.16337363270005756</v>
      </c>
      <c r="L159" s="86"/>
    </row>
    <row r="160" spans="1:12" ht="13.5" customHeight="1">
      <c r="A160" s="695" t="s">
        <v>897</v>
      </c>
      <c r="B160" s="107">
        <v>1801495591.6700001</v>
      </c>
      <c r="C160" s="301">
        <v>0.19735298593182832</v>
      </c>
      <c r="D160" s="295">
        <v>15439</v>
      </c>
      <c r="E160" s="301">
        <v>0.17776626367299941</v>
      </c>
      <c r="F160" s="311"/>
      <c r="G160" s="695" t="s">
        <v>897</v>
      </c>
      <c r="H160" s="696">
        <v>1801495591.6700001</v>
      </c>
      <c r="I160" s="325">
        <v>0.19735298593182832</v>
      </c>
      <c r="J160" s="295">
        <v>15439</v>
      </c>
      <c r="K160" s="325">
        <v>0.17776626367299941</v>
      </c>
    </row>
    <row r="161" spans="1:11" ht="13.5" customHeight="1">
      <c r="A161" s="695" t="s">
        <v>898</v>
      </c>
      <c r="B161" s="107">
        <v>1524959317.1099999</v>
      </c>
      <c r="C161" s="301">
        <v>0.16705856847378267</v>
      </c>
      <c r="D161" s="295">
        <v>11455</v>
      </c>
      <c r="E161" s="301">
        <v>0.13189407023603913</v>
      </c>
      <c r="F161" s="311"/>
      <c r="G161" s="695" t="s">
        <v>898</v>
      </c>
      <c r="H161" s="696">
        <v>1524959317.1099999</v>
      </c>
      <c r="I161" s="325">
        <v>0.16705856847378267</v>
      </c>
      <c r="J161" s="295">
        <v>11455</v>
      </c>
      <c r="K161" s="325">
        <v>0.13189407023603913</v>
      </c>
    </row>
    <row r="162" spans="1:11" ht="12.75" customHeight="1">
      <c r="A162" s="695" t="s">
        <v>899</v>
      </c>
      <c r="B162" s="107">
        <v>2001674307.8099999</v>
      </c>
      <c r="C162" s="301">
        <v>0.21928246915282615</v>
      </c>
      <c r="D162" s="295">
        <v>13096</v>
      </c>
      <c r="E162" s="301">
        <v>0.15078871617731721</v>
      </c>
      <c r="F162" s="35"/>
      <c r="G162" s="695" t="s">
        <v>899</v>
      </c>
      <c r="H162" s="696">
        <v>2001674307.8099999</v>
      </c>
      <c r="I162" s="325">
        <v>0.21928246915282615</v>
      </c>
      <c r="J162" s="295">
        <v>13096</v>
      </c>
      <c r="K162" s="325">
        <v>0.15078871617731721</v>
      </c>
    </row>
    <row r="163" spans="1:11">
      <c r="A163" s="695" t="s">
        <v>900</v>
      </c>
      <c r="B163" s="107">
        <v>816311009.22000003</v>
      </c>
      <c r="C163" s="301">
        <v>8.942648311964449E-2</v>
      </c>
      <c r="D163" s="295">
        <v>5552</v>
      </c>
      <c r="E163" s="301">
        <v>6.392630972941854E-2</v>
      </c>
      <c r="F163" s="35"/>
      <c r="G163" s="695" t="s">
        <v>900</v>
      </c>
      <c r="H163" s="696">
        <v>816311009.22000003</v>
      </c>
      <c r="I163" s="325">
        <v>8.942648311964449E-2</v>
      </c>
      <c r="J163" s="295">
        <v>5552</v>
      </c>
      <c r="K163" s="325">
        <v>6.392630972941854E-2</v>
      </c>
    </row>
    <row r="164" spans="1:11" ht="13.5" customHeight="1">
      <c r="A164" s="695" t="s">
        <v>802</v>
      </c>
      <c r="B164" s="107">
        <v>13311272.75</v>
      </c>
      <c r="C164" s="301">
        <v>1.4582436037660312E-3</v>
      </c>
      <c r="D164" s="295">
        <v>80</v>
      </c>
      <c r="E164" s="301">
        <v>9.2112838226827867E-4</v>
      </c>
      <c r="F164" s="35"/>
      <c r="G164" s="695" t="s">
        <v>802</v>
      </c>
      <c r="H164" s="696">
        <v>13311272.75</v>
      </c>
      <c r="I164" s="325">
        <v>1.4582436037660312E-3</v>
      </c>
      <c r="J164" s="295">
        <v>80</v>
      </c>
      <c r="K164" s="325">
        <v>9.2112838226827867E-4</v>
      </c>
    </row>
    <row r="165" spans="1:11" ht="13.5" customHeight="1" thickBot="1">
      <c r="A165" s="296" t="s">
        <v>803</v>
      </c>
      <c r="B165" s="113">
        <v>9128291538.9599991</v>
      </c>
      <c r="C165" s="297">
        <v>1</v>
      </c>
      <c r="D165" s="298">
        <v>86850</v>
      </c>
      <c r="E165" s="297">
        <v>1</v>
      </c>
      <c r="F165" s="35"/>
      <c r="G165" s="296" t="s">
        <v>803</v>
      </c>
      <c r="H165" s="113">
        <v>9128291538.9599991</v>
      </c>
      <c r="I165" s="297">
        <v>1</v>
      </c>
      <c r="J165" s="298">
        <v>86850</v>
      </c>
      <c r="K165" s="297">
        <v>1</v>
      </c>
    </row>
    <row r="166" spans="1:11" ht="13.5" customHeight="1" thickTop="1">
      <c r="A166" s="114"/>
      <c r="B166" s="278"/>
      <c r="C166" s="302"/>
      <c r="D166" s="319"/>
      <c r="E166" s="302"/>
      <c r="F166" s="35"/>
    </row>
    <row r="167" spans="1:11" ht="13.5" customHeight="1">
      <c r="A167" s="114"/>
      <c r="B167" s="278"/>
      <c r="C167" s="302"/>
      <c r="D167" s="319"/>
      <c r="E167" s="302"/>
      <c r="F167" s="35"/>
    </row>
    <row r="168" spans="1:11">
      <c r="A168" s="114"/>
      <c r="B168" s="278"/>
      <c r="C168" s="302"/>
      <c r="D168" s="278"/>
      <c r="E168" s="302"/>
      <c r="F168" s="311"/>
    </row>
    <row r="169" spans="1:11" ht="15" customHeight="1">
      <c r="A169" s="456" t="s">
        <v>92</v>
      </c>
      <c r="B169" s="278"/>
      <c r="C169" s="302"/>
      <c r="D169" s="278"/>
      <c r="E169" s="302"/>
      <c r="F169" s="311"/>
      <c r="G169" s="456" t="s">
        <v>94</v>
      </c>
      <c r="H169" s="107"/>
      <c r="I169" s="301"/>
      <c r="J169" s="107"/>
      <c r="K169" s="301"/>
    </row>
    <row r="170" spans="1:11" ht="12.75" customHeight="1">
      <c r="A170" s="327" t="s">
        <v>93</v>
      </c>
      <c r="B170" s="292" t="s">
        <v>943</v>
      </c>
      <c r="C170" s="293" t="s">
        <v>1010</v>
      </c>
      <c r="D170" s="292" t="s">
        <v>1011</v>
      </c>
      <c r="E170" s="293" t="s">
        <v>1010</v>
      </c>
      <c r="F170" s="311"/>
      <c r="G170" s="68" t="s">
        <v>703</v>
      </c>
      <c r="H170" s="292" t="s">
        <v>943</v>
      </c>
      <c r="I170" s="293" t="s">
        <v>1010</v>
      </c>
      <c r="J170" s="292" t="s">
        <v>892</v>
      </c>
      <c r="K170" s="293" t="s">
        <v>1010</v>
      </c>
    </row>
    <row r="171" spans="1:11" ht="15" customHeight="1">
      <c r="A171" s="695" t="s">
        <v>806</v>
      </c>
      <c r="B171" s="304">
        <v>214620960.13999999</v>
      </c>
      <c r="C171" s="301">
        <v>2.3511624187723096E-2</v>
      </c>
      <c r="D171" s="305">
        <v>5249</v>
      </c>
      <c r="E171" s="301">
        <v>6.0437535981577431E-2</v>
      </c>
      <c r="F171" s="311"/>
      <c r="G171" s="336" t="s">
        <v>801</v>
      </c>
      <c r="H171" s="107">
        <v>372515826.58999997</v>
      </c>
      <c r="I171" s="301">
        <v>4.0808931769990467E-2</v>
      </c>
      <c r="J171" s="295">
        <v>10692</v>
      </c>
      <c r="K171" s="301">
        <v>0.12310880829015544</v>
      </c>
    </row>
    <row r="172" spans="1:11" ht="15" customHeight="1">
      <c r="A172" s="695" t="s">
        <v>894</v>
      </c>
      <c r="B172" s="304">
        <v>568107672.84000003</v>
      </c>
      <c r="C172" s="301">
        <v>6.2235925574384697E-2</v>
      </c>
      <c r="D172" s="305">
        <v>9705</v>
      </c>
      <c r="E172" s="301">
        <v>0.11174438687392055</v>
      </c>
      <c r="F172" s="35"/>
      <c r="G172" s="336" t="s">
        <v>894</v>
      </c>
      <c r="H172" s="107">
        <v>658453252.87</v>
      </c>
      <c r="I172" s="301">
        <v>7.2133240931196038E-2</v>
      </c>
      <c r="J172" s="295">
        <v>10155</v>
      </c>
      <c r="K172" s="301">
        <v>0.11692573402417962</v>
      </c>
    </row>
    <row r="173" spans="1:11" ht="15" customHeight="1">
      <c r="A173" s="695" t="s">
        <v>895</v>
      </c>
      <c r="B173" s="304">
        <v>1001626716.2</v>
      </c>
      <c r="C173" s="301">
        <v>0.10972773075060188</v>
      </c>
      <c r="D173" s="305">
        <v>13322</v>
      </c>
      <c r="E173" s="301">
        <v>0.15339090385722509</v>
      </c>
      <c r="G173" s="336" t="s">
        <v>895</v>
      </c>
      <c r="H173" s="107">
        <v>972236174.63999999</v>
      </c>
      <c r="I173" s="301">
        <v>0.10650801089014826</v>
      </c>
      <c r="J173" s="295">
        <v>11799</v>
      </c>
      <c r="K173" s="301">
        <v>0.13585492227979273</v>
      </c>
    </row>
    <row r="174" spans="1:11" ht="15" customHeight="1">
      <c r="A174" s="695" t="s">
        <v>896</v>
      </c>
      <c r="B174" s="304">
        <v>1384108056.4100001</v>
      </c>
      <c r="C174" s="301">
        <v>0.15162837980169219</v>
      </c>
      <c r="D174" s="305">
        <v>14596</v>
      </c>
      <c r="E174" s="301">
        <v>0.16805987334484743</v>
      </c>
      <c r="F174" s="57"/>
      <c r="G174" s="336" t="s">
        <v>896</v>
      </c>
      <c r="H174" s="107">
        <v>1274727773.7</v>
      </c>
      <c r="I174" s="301">
        <v>0.1396458218122634</v>
      </c>
      <c r="J174" s="295">
        <v>12590</v>
      </c>
      <c r="K174" s="301">
        <v>0.14496257915947036</v>
      </c>
    </row>
    <row r="175" spans="1:11">
      <c r="A175" s="695" t="s">
        <v>897</v>
      </c>
      <c r="B175" s="304">
        <v>1815092509.7</v>
      </c>
      <c r="C175" s="301">
        <v>0.1988425218402694</v>
      </c>
      <c r="D175" s="305">
        <v>15265</v>
      </c>
      <c r="E175" s="301">
        <v>0.17576280944156591</v>
      </c>
      <c r="F175" s="111"/>
      <c r="G175" s="336" t="s">
        <v>897</v>
      </c>
      <c r="H175" s="107">
        <v>1457274643.5899999</v>
      </c>
      <c r="I175" s="301">
        <v>0.15964374465586242</v>
      </c>
      <c r="J175" s="295">
        <v>12168</v>
      </c>
      <c r="K175" s="301">
        <v>0.14010362694300518</v>
      </c>
    </row>
    <row r="176" spans="1:11">
      <c r="A176" s="697" t="s">
        <v>898</v>
      </c>
      <c r="B176" s="304">
        <v>1460609927.6099999</v>
      </c>
      <c r="C176" s="301">
        <v>0.16000912343520632</v>
      </c>
      <c r="D176" s="305">
        <v>10854</v>
      </c>
      <c r="E176" s="301">
        <v>0.1249740932642487</v>
      </c>
      <c r="F176" s="111"/>
      <c r="G176" s="357" t="s">
        <v>898</v>
      </c>
      <c r="H176" s="107">
        <v>1385095033.29</v>
      </c>
      <c r="I176" s="301">
        <v>0.15173650264984917</v>
      </c>
      <c r="J176" s="295">
        <v>10085</v>
      </c>
      <c r="K176" s="301">
        <v>0.11611974668969488</v>
      </c>
    </row>
    <row r="177" spans="1:36">
      <c r="A177" s="695" t="s">
        <v>899</v>
      </c>
      <c r="B177" s="304">
        <v>1904241445.3599999</v>
      </c>
      <c r="C177" s="301">
        <v>0.20860874537503576</v>
      </c>
      <c r="D177" s="305">
        <v>12427</v>
      </c>
      <c r="E177" s="301">
        <v>0.14308578008059875</v>
      </c>
      <c r="F177" s="276"/>
      <c r="G177" s="336" t="s">
        <v>899</v>
      </c>
      <c r="H177" s="107">
        <v>1325701573.9400001</v>
      </c>
      <c r="I177" s="301">
        <v>0.14522997740396876</v>
      </c>
      <c r="J177" s="295">
        <v>8783</v>
      </c>
      <c r="K177" s="301">
        <v>0.10112838226827864</v>
      </c>
    </row>
    <row r="178" spans="1:36">
      <c r="A178" s="695" t="s">
        <v>900</v>
      </c>
      <c r="B178" s="304">
        <v>736491337.37</v>
      </c>
      <c r="C178" s="301">
        <v>8.0682276001661279E-2</v>
      </c>
      <c r="D178" s="305">
        <v>5151</v>
      </c>
      <c r="E178" s="301">
        <v>5.9309153713298791E-2</v>
      </c>
      <c r="F178" s="276"/>
      <c r="G178" s="336" t="s">
        <v>900</v>
      </c>
      <c r="H178" s="107">
        <v>1031027818.99</v>
      </c>
      <c r="I178" s="301">
        <v>0.11294860758878286</v>
      </c>
      <c r="J178" s="295">
        <v>6406</v>
      </c>
      <c r="K178" s="301">
        <v>7.375935521013241E-2</v>
      </c>
    </row>
    <row r="179" spans="1:36">
      <c r="A179" s="695" t="s">
        <v>802</v>
      </c>
      <c r="B179" s="304">
        <v>43392913.329999998</v>
      </c>
      <c r="C179" s="301">
        <v>4.7536730334254663E-3</v>
      </c>
      <c r="D179" s="305">
        <v>281</v>
      </c>
      <c r="E179" s="301">
        <v>3.2354634427173286E-3</v>
      </c>
      <c r="G179" s="336" t="s">
        <v>802</v>
      </c>
      <c r="H179" s="107">
        <v>651259441.35000002</v>
      </c>
      <c r="I179" s="301">
        <v>7.1345162297938497E-2</v>
      </c>
      <c r="J179" s="295">
        <v>4172</v>
      </c>
      <c r="K179" s="301">
        <v>4.8036845135290732E-2</v>
      </c>
    </row>
    <row r="180" spans="1:36" ht="13.5" thickBot="1">
      <c r="A180" s="296" t="s">
        <v>803</v>
      </c>
      <c r="B180" s="352">
        <v>9128291538.9599991</v>
      </c>
      <c r="C180" s="297">
        <v>1</v>
      </c>
      <c r="D180" s="334">
        <v>86850</v>
      </c>
      <c r="E180" s="297">
        <v>1</v>
      </c>
      <c r="G180" s="296" t="s">
        <v>803</v>
      </c>
      <c r="H180" s="113">
        <v>9128291538.960001</v>
      </c>
      <c r="I180" s="297">
        <v>1</v>
      </c>
      <c r="J180" s="298">
        <v>86850</v>
      </c>
      <c r="K180" s="297">
        <v>1</v>
      </c>
    </row>
    <row r="181" spans="1:36" ht="12" customHeight="1" thickTop="1">
      <c r="A181" s="318"/>
      <c r="B181" s="328"/>
      <c r="C181" s="302"/>
      <c r="D181" s="329"/>
      <c r="E181" s="302"/>
    </row>
    <row r="182" spans="1:36">
      <c r="C182" s="301"/>
      <c r="E182" s="301"/>
    </row>
    <row r="183" spans="1:36">
      <c r="A183" s="330"/>
      <c r="B183" s="278"/>
      <c r="C183" s="302"/>
      <c r="D183" s="319"/>
      <c r="E183" s="302"/>
    </row>
    <row r="184" spans="1:36" ht="15.75">
      <c r="A184" s="456" t="s">
        <v>939</v>
      </c>
      <c r="B184" s="278"/>
      <c r="C184" s="302"/>
      <c r="D184" s="319"/>
      <c r="E184" s="302"/>
      <c r="G184" s="456" t="s">
        <v>581</v>
      </c>
      <c r="J184" s="288"/>
    </row>
    <row r="185" spans="1:36" s="46" customFormat="1" ht="25.5">
      <c r="A185" s="323" t="s">
        <v>620</v>
      </c>
      <c r="B185" s="292" t="s">
        <v>943</v>
      </c>
      <c r="C185" s="293" t="s">
        <v>1010</v>
      </c>
      <c r="D185" s="324" t="s">
        <v>1011</v>
      </c>
      <c r="E185" s="293" t="s">
        <v>1010</v>
      </c>
      <c r="G185" s="291" t="s">
        <v>582</v>
      </c>
      <c r="H185" s="292" t="s">
        <v>943</v>
      </c>
      <c r="I185" s="293" t="s">
        <v>1010</v>
      </c>
      <c r="J185" s="292" t="s">
        <v>1011</v>
      </c>
      <c r="K185" s="293" t="s">
        <v>1010</v>
      </c>
      <c r="M185" s="47"/>
      <c r="N185" s="47"/>
      <c r="O185" s="47"/>
      <c r="P185" s="47"/>
      <c r="Q185" s="47"/>
      <c r="R185" s="47"/>
      <c r="S185" s="47"/>
      <c r="T185" s="47"/>
      <c r="U185" s="47"/>
      <c r="V185" s="47"/>
      <c r="W185" s="47"/>
      <c r="X185" s="47"/>
      <c r="Y185" s="47"/>
      <c r="Z185" s="47"/>
      <c r="AA185" s="47"/>
      <c r="AB185" s="47"/>
      <c r="AC185" s="47"/>
      <c r="AD185" s="47"/>
      <c r="AE185" s="47"/>
      <c r="AF185" s="47"/>
      <c r="AG185" s="47"/>
      <c r="AH185" s="47"/>
      <c r="AI185" s="47"/>
      <c r="AJ185" s="47"/>
    </row>
    <row r="186" spans="1:36">
      <c r="A186" s="695" t="s">
        <v>149</v>
      </c>
      <c r="B186" s="107">
        <v>613329870.82000005</v>
      </c>
      <c r="C186" s="301">
        <v>6.7189995871875671E-2</v>
      </c>
      <c r="D186" s="295">
        <v>18846</v>
      </c>
      <c r="E186" s="301">
        <v>0.21699481865284975</v>
      </c>
      <c r="G186" s="695" t="s">
        <v>149</v>
      </c>
      <c r="H186" s="107">
        <v>270891225.37</v>
      </c>
      <c r="I186" s="301">
        <v>2.9676005002011913E-2</v>
      </c>
      <c r="J186" s="295">
        <v>9258</v>
      </c>
      <c r="K186" s="301">
        <v>0.10659758203799655</v>
      </c>
    </row>
    <row r="187" spans="1:36">
      <c r="A187" s="695" t="s">
        <v>978</v>
      </c>
      <c r="B187" s="107">
        <v>2443768452.1700001</v>
      </c>
      <c r="C187" s="301">
        <v>0.26771367256839629</v>
      </c>
      <c r="D187" s="295">
        <v>33057</v>
      </c>
      <c r="E187" s="301">
        <v>0.38062176165803108</v>
      </c>
      <c r="G187" s="695" t="s">
        <v>978</v>
      </c>
      <c r="H187" s="107">
        <v>2101990932.4100001</v>
      </c>
      <c r="I187" s="301">
        <v>0.23027210770368131</v>
      </c>
      <c r="J187" s="295">
        <v>33830</v>
      </c>
      <c r="K187" s="301">
        <v>0.38952216465169831</v>
      </c>
    </row>
    <row r="188" spans="1:36">
      <c r="A188" s="695" t="s">
        <v>95</v>
      </c>
      <c r="B188" s="107">
        <v>2314316102.8600001</v>
      </c>
      <c r="C188" s="301">
        <v>0.25353222922190688</v>
      </c>
      <c r="D188" s="295">
        <v>18945</v>
      </c>
      <c r="E188" s="301">
        <v>0.21813471502590673</v>
      </c>
      <c r="G188" s="695" t="s">
        <v>95</v>
      </c>
      <c r="H188" s="107">
        <v>2406756755.96</v>
      </c>
      <c r="I188" s="301">
        <v>0.26365905883788254</v>
      </c>
      <c r="J188" s="295">
        <v>22725</v>
      </c>
      <c r="K188" s="301">
        <v>0.26165803108808289</v>
      </c>
    </row>
    <row r="189" spans="1:36">
      <c r="A189" s="695" t="s">
        <v>569</v>
      </c>
      <c r="B189" s="107">
        <v>1402491028.99</v>
      </c>
      <c r="C189" s="301">
        <v>0.15364222571158018</v>
      </c>
      <c r="D189" s="295">
        <v>8183</v>
      </c>
      <c r="E189" s="301">
        <v>9.4219919401266547E-2</v>
      </c>
      <c r="G189" s="695" t="s">
        <v>569</v>
      </c>
      <c r="H189" s="107">
        <v>1607170372.8199999</v>
      </c>
      <c r="I189" s="301">
        <v>0.17606475055715706</v>
      </c>
      <c r="J189" s="295">
        <v>10682</v>
      </c>
      <c r="K189" s="301">
        <v>0.1229936672423719</v>
      </c>
    </row>
    <row r="190" spans="1:36">
      <c r="A190" s="695" t="s">
        <v>570</v>
      </c>
      <c r="B190" s="107">
        <v>762768491.55999994</v>
      </c>
      <c r="C190" s="301">
        <v>8.3560925755325213E-2</v>
      </c>
      <c r="D190" s="295">
        <v>3431</v>
      </c>
      <c r="E190" s="301">
        <v>3.9504893494530798E-2</v>
      </c>
      <c r="G190" s="695" t="s">
        <v>570</v>
      </c>
      <c r="H190" s="107">
        <v>899506179.87</v>
      </c>
      <c r="I190" s="301">
        <v>9.8540474527009023E-2</v>
      </c>
      <c r="J190" s="295">
        <v>4598</v>
      </c>
      <c r="K190" s="301">
        <v>5.2941853770869317E-2</v>
      </c>
    </row>
    <row r="191" spans="1:36">
      <c r="A191" s="695" t="s">
        <v>571</v>
      </c>
      <c r="B191" s="107">
        <v>462786603.55000001</v>
      </c>
      <c r="C191" s="301">
        <v>5.0698052486032444E-2</v>
      </c>
      <c r="D191" s="295">
        <v>1696</v>
      </c>
      <c r="E191" s="301">
        <v>1.9527921704087507E-2</v>
      </c>
      <c r="F191" s="111"/>
      <c r="G191" s="695" t="s">
        <v>571</v>
      </c>
      <c r="H191" s="107">
        <v>538950713.90999997</v>
      </c>
      <c r="I191" s="301">
        <v>5.9041794580040698E-2</v>
      </c>
      <c r="J191" s="295">
        <v>2245</v>
      </c>
      <c r="K191" s="301">
        <v>2.5849165227403569E-2</v>
      </c>
    </row>
    <row r="192" spans="1:36">
      <c r="A192" s="695" t="s">
        <v>572</v>
      </c>
      <c r="B192" s="107">
        <v>307899588.11000001</v>
      </c>
      <c r="C192" s="301">
        <v>3.3730253552471383E-2</v>
      </c>
      <c r="D192" s="295">
        <v>954</v>
      </c>
      <c r="E192" s="301">
        <v>1.0984455958549223E-2</v>
      </c>
      <c r="F192" s="111"/>
      <c r="G192" s="695" t="s">
        <v>572</v>
      </c>
      <c r="H192" s="107">
        <v>351688629.81999999</v>
      </c>
      <c r="I192" s="301">
        <v>3.8527322261671361E-2</v>
      </c>
      <c r="J192" s="295">
        <v>1237</v>
      </c>
      <c r="K192" s="301">
        <v>1.4242947610823259E-2</v>
      </c>
    </row>
    <row r="193" spans="1:256">
      <c r="A193" s="695" t="s">
        <v>573</v>
      </c>
      <c r="B193" s="107">
        <v>234254243.5</v>
      </c>
      <c r="C193" s="301">
        <v>2.5662441049367372E-2</v>
      </c>
      <c r="D193" s="295">
        <v>628</v>
      </c>
      <c r="E193" s="301">
        <v>7.2308578008059878E-3</v>
      </c>
      <c r="F193" s="111"/>
      <c r="G193" s="695" t="s">
        <v>573</v>
      </c>
      <c r="H193" s="107">
        <v>257768834.49000001</v>
      </c>
      <c r="I193" s="301">
        <v>2.8238453317340911E-2</v>
      </c>
      <c r="J193" s="295">
        <v>783</v>
      </c>
      <c r="K193" s="301">
        <v>9.0155440414507772E-3</v>
      </c>
    </row>
    <row r="194" spans="1:256">
      <c r="A194" s="695" t="s">
        <v>574</v>
      </c>
      <c r="B194" s="107">
        <v>151585843.90000001</v>
      </c>
      <c r="C194" s="301">
        <v>1.6606157160189736E-2</v>
      </c>
      <c r="D194" s="295">
        <v>358</v>
      </c>
      <c r="E194" s="301">
        <v>4.122049510650547E-3</v>
      </c>
      <c r="F194" s="111"/>
      <c r="G194" s="697" t="s">
        <v>574</v>
      </c>
      <c r="H194" s="107">
        <v>177498149.49000001</v>
      </c>
      <c r="I194" s="301">
        <v>1.9444837923112895E-2</v>
      </c>
      <c r="J194" s="295">
        <v>478</v>
      </c>
      <c r="K194" s="301">
        <v>5.5037420840529649E-3</v>
      </c>
    </row>
    <row r="195" spans="1:256">
      <c r="A195" s="695" t="s">
        <v>575</v>
      </c>
      <c r="B195" s="107">
        <v>135863795.44</v>
      </c>
      <c r="C195" s="301">
        <v>1.4883814223080691E-2</v>
      </c>
      <c r="D195" s="295">
        <v>285</v>
      </c>
      <c r="E195" s="301">
        <v>3.2815198618307427E-3</v>
      </c>
      <c r="F195" s="111"/>
      <c r="G195" s="695" t="s">
        <v>575</v>
      </c>
      <c r="H195" s="107">
        <v>166885391.22</v>
      </c>
      <c r="I195" s="301">
        <v>1.8282215298199546E-2</v>
      </c>
      <c r="J195" s="295">
        <v>396</v>
      </c>
      <c r="K195" s="301">
        <v>4.5595854922279794E-3</v>
      </c>
      <c r="M195" s="125"/>
      <c r="N195" s="125"/>
      <c r="O195" s="125"/>
      <c r="P195" s="125"/>
      <c r="Q195" s="125"/>
      <c r="R195" s="125"/>
      <c r="S195" s="125"/>
      <c r="T195" s="125"/>
      <c r="U195" s="125"/>
      <c r="V195" s="125"/>
      <c r="W195" s="125"/>
      <c r="X195" s="125"/>
      <c r="Y195" s="125"/>
      <c r="Z195" s="125"/>
      <c r="AA195" s="125"/>
      <c r="AB195" s="125"/>
      <c r="AC195" s="125"/>
      <c r="AD195" s="125"/>
      <c r="AE195" s="125"/>
      <c r="AF195" s="125"/>
      <c r="AG195" s="125"/>
      <c r="AH195" s="125"/>
      <c r="AI195" s="125"/>
      <c r="AJ195" s="125"/>
      <c r="AK195" s="106"/>
      <c r="AL195" s="106"/>
      <c r="AM195" s="106"/>
      <c r="AN195" s="106"/>
      <c r="AO195" s="106"/>
      <c r="AP195" s="106"/>
      <c r="AQ195" s="106"/>
      <c r="AR195" s="106"/>
      <c r="AS195" s="106"/>
      <c r="AT195" s="106"/>
      <c r="AU195" s="106"/>
      <c r="AV195" s="106"/>
      <c r="AW195" s="106"/>
      <c r="AX195" s="106"/>
      <c r="AY195" s="106"/>
      <c r="AZ195" s="106"/>
      <c r="BA195" s="106"/>
      <c r="BB195" s="106"/>
      <c r="BC195" s="106"/>
      <c r="BD195" s="106"/>
      <c r="BE195" s="106"/>
      <c r="BF195" s="106"/>
      <c r="BG195" s="106"/>
      <c r="BH195" s="106"/>
      <c r="BI195" s="106"/>
      <c r="BJ195" s="106"/>
      <c r="BK195" s="106"/>
      <c r="BL195" s="106"/>
      <c r="BM195" s="106"/>
      <c r="BN195" s="106"/>
      <c r="BO195" s="106"/>
      <c r="BP195" s="106"/>
      <c r="BQ195" s="106"/>
      <c r="BR195" s="106"/>
      <c r="BS195" s="106"/>
      <c r="BT195" s="106"/>
      <c r="BU195" s="106"/>
      <c r="BV195" s="106"/>
      <c r="BW195" s="106"/>
      <c r="BX195" s="106"/>
      <c r="BY195" s="106"/>
      <c r="BZ195" s="106"/>
      <c r="CA195" s="106"/>
      <c r="CB195" s="106"/>
      <c r="CC195" s="106"/>
      <c r="CD195" s="106"/>
      <c r="CE195" s="106"/>
      <c r="CF195" s="106"/>
      <c r="CG195" s="106"/>
      <c r="CH195" s="106"/>
      <c r="CI195" s="106"/>
      <c r="CJ195" s="106"/>
      <c r="CK195" s="106"/>
      <c r="CL195" s="106"/>
      <c r="CM195" s="106"/>
      <c r="CN195" s="106"/>
      <c r="CO195" s="106"/>
      <c r="CP195" s="106"/>
      <c r="CQ195" s="106"/>
      <c r="CR195" s="106"/>
      <c r="CS195" s="106"/>
      <c r="CT195" s="106"/>
      <c r="CU195" s="106"/>
      <c r="CV195" s="106"/>
      <c r="CW195" s="106"/>
      <c r="CX195" s="106"/>
      <c r="CY195" s="106"/>
      <c r="CZ195" s="106"/>
      <c r="DA195" s="106"/>
      <c r="DB195" s="106"/>
      <c r="DC195" s="106"/>
      <c r="DD195" s="106"/>
      <c r="DE195" s="106"/>
      <c r="DF195" s="106"/>
      <c r="DG195" s="106"/>
      <c r="DH195" s="106"/>
      <c r="DI195" s="106"/>
      <c r="DJ195" s="106"/>
      <c r="DK195" s="106"/>
      <c r="DL195" s="106"/>
      <c r="DM195" s="106"/>
      <c r="DN195" s="106"/>
      <c r="DO195" s="106"/>
      <c r="DP195" s="106"/>
      <c r="DQ195" s="106"/>
      <c r="DR195" s="106"/>
      <c r="DS195" s="106"/>
      <c r="DT195" s="106"/>
      <c r="DU195" s="106"/>
      <c r="DV195" s="106"/>
      <c r="DW195" s="106"/>
      <c r="DX195" s="106"/>
      <c r="DY195" s="106"/>
      <c r="DZ195" s="106"/>
      <c r="EA195" s="106"/>
      <c r="EB195" s="106"/>
      <c r="EC195" s="106"/>
      <c r="ED195" s="106"/>
      <c r="EE195" s="106"/>
      <c r="EF195" s="106"/>
      <c r="EG195" s="106"/>
      <c r="EH195" s="106"/>
      <c r="EI195" s="106"/>
      <c r="EJ195" s="106"/>
      <c r="EK195" s="106"/>
      <c r="EL195" s="106"/>
      <c r="EM195" s="106"/>
      <c r="EN195" s="106"/>
      <c r="EO195" s="106"/>
      <c r="EP195" s="106"/>
      <c r="EQ195" s="106"/>
      <c r="ER195" s="106"/>
      <c r="ES195" s="106"/>
      <c r="ET195" s="106"/>
      <c r="EU195" s="106"/>
      <c r="EV195" s="106"/>
      <c r="EW195" s="106"/>
      <c r="EX195" s="106"/>
      <c r="EY195" s="106"/>
      <c r="EZ195" s="106"/>
      <c r="FA195" s="106"/>
      <c r="FB195" s="106"/>
      <c r="FC195" s="106"/>
      <c r="FD195" s="106"/>
      <c r="FE195" s="106"/>
      <c r="FF195" s="106"/>
      <c r="FG195" s="106"/>
      <c r="FH195" s="106"/>
      <c r="FI195" s="106"/>
      <c r="FJ195" s="106"/>
      <c r="FK195" s="106"/>
      <c r="FL195" s="106"/>
      <c r="FM195" s="106"/>
      <c r="FN195" s="106"/>
      <c r="FO195" s="106"/>
      <c r="FP195" s="106"/>
      <c r="FQ195" s="106"/>
      <c r="FR195" s="106"/>
      <c r="FS195" s="106"/>
      <c r="FT195" s="106"/>
      <c r="FU195" s="106"/>
      <c r="FV195" s="106"/>
      <c r="FW195" s="106"/>
      <c r="FX195" s="106"/>
      <c r="FY195" s="106"/>
      <c r="FZ195" s="106"/>
      <c r="GA195" s="106"/>
      <c r="GB195" s="106"/>
      <c r="GC195" s="106"/>
      <c r="GD195" s="106"/>
      <c r="GE195" s="106"/>
      <c r="GF195" s="106"/>
      <c r="GG195" s="106"/>
      <c r="GH195" s="106"/>
      <c r="GI195" s="106"/>
      <c r="GJ195" s="106"/>
      <c r="GK195" s="106"/>
      <c r="GL195" s="106"/>
      <c r="GM195" s="106"/>
      <c r="GN195" s="106"/>
      <c r="GO195" s="106"/>
      <c r="GP195" s="106"/>
      <c r="GQ195" s="106"/>
      <c r="GR195" s="106"/>
      <c r="GS195" s="106"/>
      <c r="GT195" s="106"/>
      <c r="GU195" s="106"/>
      <c r="GV195" s="106"/>
      <c r="GW195" s="106"/>
      <c r="GX195" s="106"/>
      <c r="GY195" s="106"/>
      <c r="GZ195" s="106"/>
      <c r="HA195" s="106"/>
      <c r="HB195" s="106"/>
      <c r="HC195" s="106"/>
      <c r="HD195" s="106"/>
      <c r="HE195" s="106"/>
      <c r="HF195" s="106"/>
      <c r="HG195" s="106"/>
      <c r="HH195" s="106"/>
      <c r="HI195" s="106"/>
      <c r="HJ195" s="106"/>
      <c r="HK195" s="106"/>
      <c r="HL195" s="106"/>
      <c r="HM195" s="106"/>
      <c r="HN195" s="106"/>
      <c r="HO195" s="106"/>
      <c r="HP195" s="106"/>
      <c r="HQ195" s="106"/>
      <c r="HR195" s="106"/>
      <c r="HS195" s="106"/>
      <c r="HT195" s="106"/>
      <c r="HU195" s="106"/>
      <c r="HV195" s="106"/>
      <c r="HW195" s="106"/>
      <c r="HX195" s="106"/>
      <c r="HY195" s="106"/>
      <c r="HZ195" s="106"/>
      <c r="IA195" s="106"/>
      <c r="IB195" s="106"/>
      <c r="IC195" s="106"/>
      <c r="ID195" s="106"/>
      <c r="IE195" s="106"/>
      <c r="IF195" s="106"/>
      <c r="IG195" s="106"/>
      <c r="IH195" s="106"/>
      <c r="II195" s="106"/>
      <c r="IJ195" s="106"/>
      <c r="IK195" s="106"/>
      <c r="IL195" s="106"/>
      <c r="IM195" s="106"/>
      <c r="IN195" s="106"/>
      <c r="IO195" s="106"/>
      <c r="IP195" s="106"/>
      <c r="IQ195" s="106"/>
      <c r="IR195" s="106"/>
      <c r="IS195" s="106"/>
      <c r="IT195" s="106"/>
      <c r="IU195" s="106"/>
      <c r="IV195" s="106"/>
    </row>
    <row r="196" spans="1:256">
      <c r="A196" s="695" t="s">
        <v>576</v>
      </c>
      <c r="B196" s="107">
        <v>125941176.61</v>
      </c>
      <c r="C196" s="301">
        <v>1.3796796045840212E-2</v>
      </c>
      <c r="D196" s="295">
        <v>232</v>
      </c>
      <c r="E196" s="301">
        <v>2.6712723085780079E-3</v>
      </c>
      <c r="F196" s="111"/>
      <c r="G196" s="695" t="s">
        <v>576</v>
      </c>
      <c r="H196" s="107">
        <v>148841479.03999999</v>
      </c>
      <c r="I196" s="301">
        <v>1.6305513293997806E-2</v>
      </c>
      <c r="J196" s="295">
        <v>307</v>
      </c>
      <c r="K196" s="301">
        <v>3.5348301669545193E-3</v>
      </c>
    </row>
    <row r="197" spans="1:256" ht="12.75" customHeight="1">
      <c r="A197" s="695" t="s">
        <v>577</v>
      </c>
      <c r="B197" s="107">
        <v>69901011.930000007</v>
      </c>
      <c r="C197" s="301">
        <v>7.657622637451819E-3</v>
      </c>
      <c r="D197" s="295">
        <v>108</v>
      </c>
      <c r="E197" s="301">
        <v>1.2435233160621761E-3</v>
      </c>
      <c r="G197" s="697" t="s">
        <v>577</v>
      </c>
      <c r="H197" s="107">
        <v>72601774.200000003</v>
      </c>
      <c r="I197" s="301">
        <v>7.9534898606307691E-3</v>
      </c>
      <c r="J197" s="295">
        <v>131</v>
      </c>
      <c r="K197" s="301">
        <v>1.5083477259643062E-3</v>
      </c>
    </row>
    <row r="198" spans="1:256" ht="12.75" customHeight="1">
      <c r="A198" s="695" t="s">
        <v>578</v>
      </c>
      <c r="B198" s="107">
        <v>51763485.859999999</v>
      </c>
      <c r="C198" s="301">
        <v>5.6706652760892739E-3</v>
      </c>
      <c r="D198" s="295">
        <v>69</v>
      </c>
      <c r="E198" s="301">
        <v>7.9447322970639038E-4</v>
      </c>
      <c r="F198" s="111"/>
      <c r="G198" s="695" t="s">
        <v>578</v>
      </c>
      <c r="H198" s="107">
        <v>61761659.189999998</v>
      </c>
      <c r="I198" s="301">
        <v>6.7659604128985336E-3</v>
      </c>
      <c r="J198" s="295">
        <v>96</v>
      </c>
      <c r="K198" s="301">
        <v>1.1053540587219344E-3</v>
      </c>
    </row>
    <row r="199" spans="1:256">
      <c r="A199" s="695" t="s">
        <v>579</v>
      </c>
      <c r="B199" s="107">
        <v>29956973.27</v>
      </c>
      <c r="C199" s="301">
        <v>3.2817721850953328E-3</v>
      </c>
      <c r="D199" s="295">
        <v>35</v>
      </c>
      <c r="E199" s="301">
        <v>4.029936672423719E-4</v>
      </c>
      <c r="F199" s="111"/>
      <c r="G199" s="695" t="s">
        <v>579</v>
      </c>
      <c r="H199" s="107">
        <v>34100053.810000002</v>
      </c>
      <c r="I199" s="301">
        <v>3.7356446893111687E-3</v>
      </c>
      <c r="J199" s="295">
        <v>46</v>
      </c>
      <c r="K199" s="301">
        <v>5.2964881980426025E-4</v>
      </c>
    </row>
    <row r="200" spans="1:256">
      <c r="A200" s="695" t="s">
        <v>580</v>
      </c>
      <c r="B200" s="107">
        <v>21664870.390000001</v>
      </c>
      <c r="C200" s="301">
        <v>2.373376255297419E-3</v>
      </c>
      <c r="D200" s="295">
        <v>23</v>
      </c>
      <c r="E200" s="301">
        <v>2.6482440990213013E-4</v>
      </c>
      <c r="F200" s="276"/>
      <c r="G200" s="695" t="s">
        <v>580</v>
      </c>
      <c r="H200" s="107">
        <v>31879387.359999999</v>
      </c>
      <c r="I200" s="301">
        <v>3.4923717350543847E-3</v>
      </c>
      <c r="J200" s="295">
        <v>38</v>
      </c>
      <c r="K200" s="301">
        <v>4.3753598157743236E-4</v>
      </c>
    </row>
    <row r="201" spans="1:256" ht="13.5" thickBot="1">
      <c r="A201" s="296" t="s">
        <v>803</v>
      </c>
      <c r="B201" s="113">
        <v>9128291538.960001</v>
      </c>
      <c r="C201" s="297">
        <v>1</v>
      </c>
      <c r="D201" s="298">
        <v>86850</v>
      </c>
      <c r="E201" s="297">
        <v>1</v>
      </c>
      <c r="F201" s="276"/>
      <c r="G201" s="296" t="s">
        <v>803</v>
      </c>
      <c r="H201" s="113">
        <v>9128291538.960001</v>
      </c>
      <c r="I201" s="297">
        <v>1</v>
      </c>
      <c r="J201" s="298">
        <v>86850</v>
      </c>
      <c r="K201" s="297">
        <v>1</v>
      </c>
    </row>
    <row r="202" spans="1:256" ht="13.5" thickTop="1">
      <c r="A202" s="114"/>
      <c r="B202" s="33"/>
      <c r="C202" s="33"/>
      <c r="D202" s="288"/>
      <c r="E202" s="33"/>
    </row>
    <row r="203" spans="1:256" ht="12.75" customHeight="1">
      <c r="A203" s="114"/>
      <c r="B203" s="278"/>
      <c r="C203" s="302"/>
      <c r="D203" s="278"/>
      <c r="E203" s="302"/>
    </row>
    <row r="204" spans="1:256">
      <c r="A204" s="330"/>
      <c r="B204" s="33"/>
      <c r="C204" s="33"/>
      <c r="D204" s="295"/>
      <c r="E204" s="33"/>
    </row>
    <row r="205" spans="1:256" ht="15.75">
      <c r="A205" s="456" t="s">
        <v>485</v>
      </c>
      <c r="B205" s="278"/>
      <c r="C205" s="302"/>
      <c r="D205" s="319"/>
      <c r="E205" s="302"/>
      <c r="G205" s="456" t="s">
        <v>704</v>
      </c>
      <c r="H205" s="320"/>
      <c r="I205" s="321"/>
      <c r="J205" s="322"/>
      <c r="K205" s="321"/>
    </row>
    <row r="206" spans="1:256" ht="25.5">
      <c r="A206" s="331"/>
      <c r="B206" s="292" t="s">
        <v>943</v>
      </c>
      <c r="C206" s="293" t="s">
        <v>1010</v>
      </c>
      <c r="D206" s="324" t="s">
        <v>892</v>
      </c>
      <c r="E206" s="293" t="s">
        <v>1010</v>
      </c>
      <c r="G206" s="327" t="s">
        <v>705</v>
      </c>
      <c r="H206" s="292" t="s">
        <v>943</v>
      </c>
      <c r="I206" s="293" t="s">
        <v>1010</v>
      </c>
      <c r="J206" s="324" t="s">
        <v>1011</v>
      </c>
      <c r="K206" s="293" t="s">
        <v>1010</v>
      </c>
    </row>
    <row r="207" spans="1:256">
      <c r="A207" s="695" t="s">
        <v>472</v>
      </c>
      <c r="B207" s="107">
        <v>2234518223.1199999</v>
      </c>
      <c r="C207" s="301">
        <v>0.24479040941921779</v>
      </c>
      <c r="D207" s="295">
        <v>20678</v>
      </c>
      <c r="E207" s="301">
        <v>0.23808865860679332</v>
      </c>
      <c r="G207" s="317" t="s">
        <v>467</v>
      </c>
      <c r="H207" s="107">
        <v>6904535825.46</v>
      </c>
      <c r="I207" s="301">
        <v>0.75638861839492089</v>
      </c>
      <c r="J207" s="295">
        <v>70304</v>
      </c>
      <c r="K207" s="301">
        <v>0.80948762233736327</v>
      </c>
    </row>
    <row r="208" spans="1:256">
      <c r="A208" s="695" t="s">
        <v>473</v>
      </c>
      <c r="B208" s="107">
        <v>157451156.52000001</v>
      </c>
      <c r="C208" s="301">
        <v>1.7248699370302833E-2</v>
      </c>
      <c r="D208" s="295">
        <v>2319</v>
      </c>
      <c r="E208" s="301">
        <v>2.6701208981001728E-2</v>
      </c>
      <c r="G208" s="317" t="s">
        <v>583</v>
      </c>
      <c r="H208" s="107">
        <v>2223755713.5</v>
      </c>
      <c r="I208" s="301">
        <v>0.2436113816050792</v>
      </c>
      <c r="J208" s="295">
        <v>16546</v>
      </c>
      <c r="K208" s="301">
        <v>0.19051237766263673</v>
      </c>
    </row>
    <row r="209" spans="1:36" ht="12.75" customHeight="1" thickBot="1">
      <c r="A209" s="695" t="s">
        <v>474</v>
      </c>
      <c r="B209" s="107">
        <v>6736322159.3199997</v>
      </c>
      <c r="C209" s="301">
        <v>0.73796089121047947</v>
      </c>
      <c r="D209" s="295">
        <v>63853</v>
      </c>
      <c r="E209" s="301">
        <v>0.7352101324122049</v>
      </c>
      <c r="F209" s="111"/>
      <c r="G209" s="318" t="s">
        <v>803</v>
      </c>
      <c r="H209" s="113">
        <v>9128291538.9599991</v>
      </c>
      <c r="I209" s="297">
        <v>1</v>
      </c>
      <c r="J209" s="298">
        <v>86850</v>
      </c>
      <c r="K209" s="297">
        <v>1</v>
      </c>
    </row>
    <row r="210" spans="1:36" ht="13.5" customHeight="1" thickTop="1" thickBot="1">
      <c r="A210" s="296" t="s">
        <v>803</v>
      </c>
      <c r="B210" s="113">
        <v>9128291538.9599991</v>
      </c>
      <c r="C210" s="297">
        <v>1</v>
      </c>
      <c r="D210" s="298">
        <v>86850</v>
      </c>
      <c r="E210" s="297">
        <v>1</v>
      </c>
      <c r="F210" s="111"/>
    </row>
    <row r="211" spans="1:36" ht="13.5" thickTop="1">
      <c r="F211" s="111"/>
      <c r="G211" s="111"/>
    </row>
    <row r="212" spans="1:36">
      <c r="A212" s="114"/>
      <c r="B212" s="33"/>
      <c r="C212" s="33"/>
      <c r="D212" s="295"/>
      <c r="E212" s="33"/>
      <c r="F212" s="111"/>
      <c r="G212" s="111"/>
    </row>
    <row r="213" spans="1:36">
      <c r="A213" s="326"/>
      <c r="B213" s="35"/>
      <c r="C213" s="35"/>
      <c r="D213" s="317"/>
      <c r="E213" s="35"/>
      <c r="G213" s="301"/>
    </row>
    <row r="214" spans="1:36" ht="15.75">
      <c r="A214" s="456" t="s">
        <v>486</v>
      </c>
      <c r="B214" s="314"/>
      <c r="C214" s="315"/>
      <c r="D214" s="314"/>
      <c r="E214" s="315"/>
      <c r="G214" s="301"/>
    </row>
    <row r="215" spans="1:36" s="46" customFormat="1" ht="25.5">
      <c r="A215" s="822"/>
      <c r="B215" s="292" t="s">
        <v>946</v>
      </c>
      <c r="C215" s="293" t="s">
        <v>1010</v>
      </c>
      <c r="D215" s="333" t="s">
        <v>947</v>
      </c>
      <c r="E215" s="293" t="s">
        <v>1010</v>
      </c>
      <c r="F215" s="292" t="s">
        <v>1011</v>
      </c>
      <c r="G215" s="293" t="s">
        <v>1010</v>
      </c>
      <c r="M215" s="47"/>
      <c r="N215" s="47"/>
      <c r="O215" s="47"/>
      <c r="P215" s="47"/>
      <c r="Q215" s="47"/>
      <c r="R215" s="47"/>
      <c r="S215" s="47"/>
      <c r="T215" s="47"/>
      <c r="U215" s="47"/>
      <c r="V215" s="47"/>
      <c r="W215" s="47"/>
      <c r="X215" s="47"/>
      <c r="Y215" s="47"/>
      <c r="Z215" s="47"/>
      <c r="AA215" s="47"/>
      <c r="AB215" s="47"/>
      <c r="AC215" s="47"/>
      <c r="AD215" s="47"/>
      <c r="AE215" s="47"/>
      <c r="AF215" s="47"/>
      <c r="AG215" s="47"/>
      <c r="AH215" s="47"/>
      <c r="AI215" s="47"/>
      <c r="AJ215" s="47"/>
    </row>
    <row r="216" spans="1:36">
      <c r="A216" s="278" t="s">
        <v>78</v>
      </c>
      <c r="B216" s="107">
        <v>6370317728.1599998</v>
      </c>
      <c r="C216" s="301">
        <v>0.72646969779990611</v>
      </c>
      <c r="D216" s="813">
        <v>267633521.88999999</v>
      </c>
      <c r="E216" s="301">
        <v>0.74462119498094126</v>
      </c>
      <c r="F216" s="295">
        <v>63077</v>
      </c>
      <c r="G216" s="301">
        <v>0.72627518710420269</v>
      </c>
    </row>
    <row r="217" spans="1:36">
      <c r="A217" s="278" t="s">
        <v>79</v>
      </c>
      <c r="B217" s="107">
        <v>67583752</v>
      </c>
      <c r="C217" s="301">
        <v>7.7072369050899944E-3</v>
      </c>
      <c r="D217" s="813">
        <v>1684044.5</v>
      </c>
      <c r="E217" s="301">
        <v>4.6854191475553565E-3</v>
      </c>
      <c r="F217" s="295">
        <v>543</v>
      </c>
      <c r="G217" s="301">
        <v>6.2521588946459414E-3</v>
      </c>
    </row>
    <row r="218" spans="1:36">
      <c r="A218" s="278" t="s">
        <v>80</v>
      </c>
      <c r="B218" s="107">
        <v>144163270.25</v>
      </c>
      <c r="C218" s="301">
        <v>1.6440349106827665E-2</v>
      </c>
      <c r="D218" s="813">
        <v>3331481.05</v>
      </c>
      <c r="E218" s="301">
        <v>9.2689861232216984E-3</v>
      </c>
      <c r="F218" s="295">
        <v>1230</v>
      </c>
      <c r="G218" s="301">
        <v>1.4162348877374784E-2</v>
      </c>
    </row>
    <row r="219" spans="1:36">
      <c r="A219" s="278" t="s">
        <v>584</v>
      </c>
      <c r="B219" s="107">
        <v>824105629.08000004</v>
      </c>
      <c r="C219" s="301">
        <v>9.3980833117074988E-2</v>
      </c>
      <c r="D219" s="813">
        <v>44868104.210000001</v>
      </c>
      <c r="E219" s="301">
        <v>0.12483391892556468</v>
      </c>
      <c r="F219" s="295">
        <v>8816</v>
      </c>
      <c r="G219" s="301">
        <v>0.1015083477259643</v>
      </c>
    </row>
    <row r="220" spans="1:36">
      <c r="A220" s="278" t="s">
        <v>585</v>
      </c>
      <c r="B220" s="107">
        <v>1273979905.0899999</v>
      </c>
      <c r="C220" s="301">
        <v>0.1452844012101118</v>
      </c>
      <c r="D220" s="813">
        <v>38575913.670000002</v>
      </c>
      <c r="E220" s="301">
        <v>0.10732752284387999</v>
      </c>
      <c r="F220" s="295">
        <v>11875</v>
      </c>
      <c r="G220" s="301">
        <v>0.1367299942429476</v>
      </c>
    </row>
    <row r="221" spans="1:36">
      <c r="A221" s="320" t="s">
        <v>586</v>
      </c>
      <c r="B221" s="278">
        <v>88311999.379999995</v>
      </c>
      <c r="C221" s="302">
        <v>1.0071081889384015E-2</v>
      </c>
      <c r="D221" s="814">
        <v>3324325.2</v>
      </c>
      <c r="E221" s="302">
        <v>9.249076817614256E-3</v>
      </c>
      <c r="F221" s="319">
        <v>1300</v>
      </c>
      <c r="G221" s="302">
        <v>1.4968336211859529E-2</v>
      </c>
    </row>
    <row r="222" spans="1:36">
      <c r="A222" s="278" t="s">
        <v>850</v>
      </c>
      <c r="B222" s="699">
        <v>406875.28</v>
      </c>
      <c r="C222" s="59">
        <v>4.6399971605376769E-5</v>
      </c>
      <c r="D222" s="295">
        <v>4989.2</v>
      </c>
      <c r="E222" s="59">
        <v>1.3881161222867438E-5</v>
      </c>
      <c r="F222" s="700">
        <v>9</v>
      </c>
      <c r="G222" s="59">
        <v>1.0362694300518135E-4</v>
      </c>
    </row>
    <row r="223" spans="1:36" ht="13.5" thickBot="1">
      <c r="A223" s="296" t="s">
        <v>803</v>
      </c>
      <c r="B223" s="113">
        <v>8768869159.2399998</v>
      </c>
      <c r="C223" s="297">
        <v>1</v>
      </c>
      <c r="D223" s="298">
        <v>359422379.71999997</v>
      </c>
      <c r="E223" s="297">
        <v>1</v>
      </c>
      <c r="F223" s="701">
        <v>86850</v>
      </c>
      <c r="G223" s="561">
        <v>1</v>
      </c>
    </row>
    <row r="224" spans="1:36" ht="13.5" thickTop="1">
      <c r="A224" s="296"/>
      <c r="B224" s="278"/>
      <c r="C224" s="302"/>
      <c r="D224" s="319"/>
      <c r="E224" s="302"/>
      <c r="F224" s="821"/>
      <c r="G224" s="313"/>
    </row>
    <row r="225" spans="1:36" ht="15.75">
      <c r="A225" s="456" t="s">
        <v>487</v>
      </c>
      <c r="B225" s="278"/>
      <c r="C225" s="302"/>
      <c r="D225" s="278"/>
      <c r="E225" s="302"/>
      <c r="F225" s="35"/>
      <c r="G225" s="301"/>
    </row>
    <row r="226" spans="1:36" s="46" customFormat="1" ht="25.5">
      <c r="A226" s="822"/>
      <c r="B226" s="292" t="s">
        <v>948</v>
      </c>
      <c r="C226" s="293" t="s">
        <v>1010</v>
      </c>
      <c r="D226" s="333" t="s">
        <v>947</v>
      </c>
      <c r="E226" s="293" t="s">
        <v>1010</v>
      </c>
      <c r="F226" s="292" t="s">
        <v>1011</v>
      </c>
      <c r="G226" s="293" t="s">
        <v>1010</v>
      </c>
      <c r="M226" s="47"/>
      <c r="N226" s="47"/>
      <c r="O226" s="47"/>
      <c r="P226" s="47"/>
      <c r="Q226" s="47"/>
      <c r="R226" s="47"/>
      <c r="S226" s="47"/>
      <c r="T226" s="47"/>
      <c r="U226" s="47"/>
      <c r="V226" s="47"/>
      <c r="W226" s="47"/>
      <c r="X226" s="47"/>
      <c r="Y226" s="47"/>
      <c r="Z226" s="47"/>
      <c r="AA226" s="47"/>
      <c r="AB226" s="47"/>
      <c r="AC226" s="47"/>
      <c r="AD226" s="47"/>
      <c r="AE226" s="47"/>
      <c r="AF226" s="47"/>
      <c r="AG226" s="47"/>
      <c r="AH226" s="47"/>
      <c r="AI226" s="47"/>
      <c r="AJ226" s="47"/>
    </row>
    <row r="227" spans="1:36">
      <c r="A227" s="739" t="s">
        <v>79</v>
      </c>
      <c r="B227" s="738">
        <v>2941586.24</v>
      </c>
      <c r="C227" s="310">
        <v>1.3604905229963871E-3</v>
      </c>
      <c r="D227" s="815">
        <v>189621.99</v>
      </c>
      <c r="E227" s="310">
        <v>2.6202823654106022E-3</v>
      </c>
      <c r="F227" s="736">
        <v>24</v>
      </c>
      <c r="G227" s="310">
        <v>1.160653834993713E-3</v>
      </c>
    </row>
    <row r="228" spans="1:36">
      <c r="A228" s="739" t="s">
        <v>80</v>
      </c>
      <c r="B228" s="738">
        <v>113304163.67</v>
      </c>
      <c r="C228" s="310">
        <v>5.2403440971041028E-2</v>
      </c>
      <c r="D228" s="815">
        <v>2883217.33</v>
      </c>
      <c r="E228" s="310">
        <v>3.984160025662236E-2</v>
      </c>
      <c r="F228" s="736">
        <v>982</v>
      </c>
      <c r="G228" s="310">
        <v>4.7490086081826095E-2</v>
      </c>
    </row>
    <row r="229" spans="1:36">
      <c r="A229" s="328" t="s">
        <v>584</v>
      </c>
      <c r="B229" s="739">
        <v>683208308.60000002</v>
      </c>
      <c r="C229" s="301">
        <v>0.31598544229071829</v>
      </c>
      <c r="D229" s="742">
        <v>27388938.739999998</v>
      </c>
      <c r="E229" s="301">
        <v>0.37847273508591112</v>
      </c>
      <c r="F229" s="344">
        <v>6489</v>
      </c>
      <c r="G229" s="301">
        <v>0.31381178063642517</v>
      </c>
    </row>
    <row r="230" spans="1:36">
      <c r="A230" s="815" t="s">
        <v>585</v>
      </c>
      <c r="B230" s="739">
        <v>1273978283.8199999</v>
      </c>
      <c r="C230" s="301">
        <v>0.58921793897169961</v>
      </c>
      <c r="D230" s="742">
        <v>38575913.670000002</v>
      </c>
      <c r="E230" s="301">
        <v>0.53305941108994159</v>
      </c>
      <c r="F230" s="344">
        <v>11874</v>
      </c>
      <c r="G230" s="301">
        <v>0.57423348486313952</v>
      </c>
    </row>
    <row r="231" spans="1:36">
      <c r="A231" s="328" t="s">
        <v>586</v>
      </c>
      <c r="B231" s="739">
        <v>88311999.379999995</v>
      </c>
      <c r="C231" s="301">
        <v>4.0844506473946787E-2</v>
      </c>
      <c r="D231" s="742">
        <v>3324325.2</v>
      </c>
      <c r="E231" s="301">
        <v>4.5937028181436523E-2</v>
      </c>
      <c r="F231" s="344">
        <v>1300</v>
      </c>
      <c r="G231" s="301">
        <v>6.2868749395492793E-2</v>
      </c>
    </row>
    <row r="232" spans="1:36">
      <c r="A232" s="328" t="s">
        <v>850</v>
      </c>
      <c r="B232" s="739">
        <v>406875.28</v>
      </c>
      <c r="C232" s="301">
        <v>1.8818076959780088E-4</v>
      </c>
      <c r="D232" s="742">
        <v>4989.2</v>
      </c>
      <c r="E232" s="301">
        <v>6.894302067764702E-5</v>
      </c>
      <c r="F232" s="344">
        <v>9</v>
      </c>
      <c r="G232" s="301">
        <v>4.3524518812264242E-4</v>
      </c>
    </row>
    <row r="233" spans="1:36" ht="13.5" thickBot="1">
      <c r="A233" s="296" t="s">
        <v>803</v>
      </c>
      <c r="B233" s="373">
        <v>2162151216.9900002</v>
      </c>
      <c r="C233" s="297">
        <v>1</v>
      </c>
      <c r="D233" s="363">
        <v>72367006.13000001</v>
      </c>
      <c r="E233" s="297">
        <v>1</v>
      </c>
      <c r="F233" s="307">
        <v>20678</v>
      </c>
      <c r="G233" s="297">
        <v>1</v>
      </c>
    </row>
    <row r="234" spans="1:36" ht="13.5" thickTop="1">
      <c r="A234" s="114"/>
      <c r="B234" s="278"/>
      <c r="C234" s="302"/>
      <c r="D234" s="278"/>
      <c r="E234" s="302"/>
      <c r="F234" s="35"/>
      <c r="H234" s="57"/>
      <c r="I234" s="57"/>
    </row>
    <row r="235" spans="1:36">
      <c r="A235" s="114"/>
      <c r="B235" s="35"/>
      <c r="C235" s="35"/>
      <c r="D235" s="317"/>
      <c r="E235" s="35"/>
      <c r="F235" s="35"/>
    </row>
    <row r="236" spans="1:36" ht="15.75">
      <c r="A236" s="455" t="s">
        <v>851</v>
      </c>
      <c r="F236" s="57"/>
      <c r="G236" s="301"/>
    </row>
    <row r="237" spans="1:36" ht="15.75">
      <c r="A237" s="456"/>
      <c r="B237" s="35"/>
      <c r="C237" s="35"/>
      <c r="D237" s="328"/>
      <c r="E237" s="35"/>
      <c r="F237" s="35"/>
      <c r="G237" s="301"/>
    </row>
    <row r="238" spans="1:36" s="46" customFormat="1" ht="25.5">
      <c r="A238" s="822" t="s">
        <v>621</v>
      </c>
      <c r="B238" s="292" t="s">
        <v>948</v>
      </c>
      <c r="C238" s="293" t="s">
        <v>1010</v>
      </c>
      <c r="D238" s="333" t="s">
        <v>947</v>
      </c>
      <c r="E238" s="293" t="s">
        <v>1010</v>
      </c>
      <c r="F238" s="292" t="s">
        <v>1011</v>
      </c>
      <c r="G238" s="293" t="s">
        <v>1010</v>
      </c>
      <c r="M238" s="47"/>
      <c r="N238" s="47"/>
      <c r="O238" s="47"/>
      <c r="P238" s="47"/>
      <c r="Q238" s="47"/>
      <c r="R238" s="47"/>
      <c r="S238" s="47"/>
      <c r="T238" s="47"/>
      <c r="U238" s="47"/>
      <c r="V238" s="47"/>
      <c r="W238" s="47"/>
      <c r="X238" s="47"/>
      <c r="Y238" s="47"/>
      <c r="Z238" s="47"/>
      <c r="AA238" s="47"/>
      <c r="AB238" s="47"/>
      <c r="AC238" s="47"/>
      <c r="AD238" s="47"/>
      <c r="AE238" s="47"/>
      <c r="AF238" s="47"/>
      <c r="AG238" s="47"/>
      <c r="AH238" s="47"/>
      <c r="AI238" s="47"/>
      <c r="AJ238" s="47"/>
    </row>
    <row r="239" spans="1:36">
      <c r="A239" s="278" t="s">
        <v>222</v>
      </c>
      <c r="B239" s="107">
        <v>223450042.88</v>
      </c>
      <c r="C239" s="301">
        <v>0.10334616798499043</v>
      </c>
      <c r="D239" s="698">
        <v>7255640.1900000004</v>
      </c>
      <c r="E239" s="301">
        <v>0.1002617156355201</v>
      </c>
      <c r="F239" s="295">
        <v>1931</v>
      </c>
      <c r="G239" s="301">
        <v>9.3384273140535837E-2</v>
      </c>
    </row>
    <row r="240" spans="1:36">
      <c r="A240" s="278" t="s">
        <v>223</v>
      </c>
      <c r="B240" s="107">
        <v>57790179.579999998</v>
      </c>
      <c r="C240" s="301">
        <v>2.6728093357157305E-2</v>
      </c>
      <c r="D240" s="698">
        <v>3091258.74</v>
      </c>
      <c r="E240" s="301">
        <v>4.271641049302035E-2</v>
      </c>
      <c r="F240" s="295">
        <v>662</v>
      </c>
      <c r="G240" s="301">
        <v>3.2014701615243252E-2</v>
      </c>
    </row>
    <row r="241" spans="1:9">
      <c r="A241" s="278" t="s">
        <v>224</v>
      </c>
      <c r="B241" s="107">
        <v>81736975.849999994</v>
      </c>
      <c r="C241" s="301">
        <v>3.7803542697530966E-2</v>
      </c>
      <c r="D241" s="698">
        <v>3438473.91</v>
      </c>
      <c r="E241" s="301">
        <v>4.7514386650501048E-2</v>
      </c>
      <c r="F241" s="295">
        <v>862</v>
      </c>
      <c r="G241" s="301">
        <v>4.1686816906857528E-2</v>
      </c>
    </row>
    <row r="242" spans="1:9">
      <c r="A242" s="278" t="s">
        <v>225</v>
      </c>
      <c r="B242" s="107">
        <v>226313051.38999999</v>
      </c>
      <c r="C242" s="301">
        <v>0.10467031612389149</v>
      </c>
      <c r="D242" s="698">
        <v>7975406.9100000001</v>
      </c>
      <c r="E242" s="301">
        <v>0.1102077775011583</v>
      </c>
      <c r="F242" s="295">
        <v>2193</v>
      </c>
      <c r="G242" s="301">
        <v>0.10605474417255054</v>
      </c>
    </row>
    <row r="243" spans="1:9">
      <c r="A243" s="278" t="s">
        <v>713</v>
      </c>
      <c r="B243" s="107">
        <v>72360425.730000004</v>
      </c>
      <c r="C243" s="301">
        <v>3.3466866314158766E-2</v>
      </c>
      <c r="D243" s="698">
        <v>2142177.69</v>
      </c>
      <c r="E243" s="301">
        <v>2.9601579567238061E-2</v>
      </c>
      <c r="F243" s="295">
        <v>713</v>
      </c>
      <c r="G243" s="301">
        <v>3.4481091014604892E-2</v>
      </c>
    </row>
    <row r="244" spans="1:9">
      <c r="A244" s="278" t="s">
        <v>956</v>
      </c>
      <c r="B244" s="107">
        <v>120358985.08</v>
      </c>
      <c r="C244" s="301">
        <v>5.5666312390284897E-2</v>
      </c>
      <c r="D244" s="698">
        <v>2020487.45</v>
      </c>
      <c r="E244" s="301">
        <v>2.7920008827923577E-2</v>
      </c>
      <c r="F244" s="295">
        <v>988</v>
      </c>
      <c r="G244" s="301">
        <v>4.7780249540574526E-2</v>
      </c>
    </row>
    <row r="245" spans="1:9">
      <c r="A245" s="278" t="s">
        <v>957</v>
      </c>
      <c r="B245" s="107">
        <v>70544494.040000007</v>
      </c>
      <c r="C245" s="301">
        <v>3.2626993655979007E-2</v>
      </c>
      <c r="D245" s="698">
        <v>1917772.66</v>
      </c>
      <c r="E245" s="301">
        <v>2.6500649433457497E-2</v>
      </c>
      <c r="F245" s="295">
        <v>659</v>
      </c>
      <c r="G245" s="301">
        <v>3.186961988586904E-2</v>
      </c>
    </row>
    <row r="246" spans="1:9">
      <c r="A246" s="278" t="s">
        <v>979</v>
      </c>
      <c r="B246" s="107">
        <v>73782098.010000005</v>
      </c>
      <c r="C246" s="301">
        <v>3.4124393072152669E-2</v>
      </c>
      <c r="D246" s="698">
        <v>1234293.93</v>
      </c>
      <c r="E246" s="301">
        <v>1.7056031415514351E-2</v>
      </c>
      <c r="F246" s="295">
        <v>669</v>
      </c>
      <c r="G246" s="301">
        <v>3.2353225650449756E-2</v>
      </c>
    </row>
    <row r="247" spans="1:9">
      <c r="A247" s="278" t="s">
        <v>546</v>
      </c>
      <c r="B247" s="107">
        <v>124719088.13</v>
      </c>
      <c r="C247" s="301">
        <v>5.7682870259012434E-2</v>
      </c>
      <c r="D247" s="698">
        <v>2801427.53</v>
      </c>
      <c r="E247" s="301">
        <v>3.8711391831900831E-2</v>
      </c>
      <c r="F247" s="295">
        <v>1079</v>
      </c>
      <c r="G247" s="301">
        <v>5.2181061998259018E-2</v>
      </c>
    </row>
    <row r="248" spans="1:9">
      <c r="A248" s="278" t="s">
        <v>210</v>
      </c>
      <c r="B248" s="107">
        <v>4863124.49</v>
      </c>
      <c r="C248" s="301">
        <v>2.2492064624277815E-3</v>
      </c>
      <c r="D248" s="698">
        <v>122383.72</v>
      </c>
      <c r="E248" s="301">
        <v>1.6911535594017807E-3</v>
      </c>
      <c r="F248" s="295">
        <v>58</v>
      </c>
      <c r="G248" s="301">
        <v>2.8049134345681402E-3</v>
      </c>
    </row>
    <row r="249" spans="1:9">
      <c r="A249" s="320" t="s">
        <v>81</v>
      </c>
      <c r="B249" s="107">
        <v>3647226.54</v>
      </c>
      <c r="C249" s="301">
        <v>1.6868508138285635E-3</v>
      </c>
      <c r="D249" s="698">
        <v>436056.13</v>
      </c>
      <c r="E249" s="301">
        <v>6.0256206981489499E-3</v>
      </c>
      <c r="F249" s="295">
        <v>40</v>
      </c>
      <c r="G249" s="301">
        <v>1.9344230583228552E-3</v>
      </c>
    </row>
    <row r="250" spans="1:9">
      <c r="A250" s="278" t="s">
        <v>418</v>
      </c>
      <c r="B250" s="107">
        <v>36887234.719999999</v>
      </c>
      <c r="C250" s="301">
        <v>1.7060432420333626E-2</v>
      </c>
      <c r="D250" s="698">
        <v>320506.49</v>
      </c>
      <c r="E250" s="301">
        <v>4.4289035451355067E-3</v>
      </c>
      <c r="F250" s="295">
        <v>373</v>
      </c>
      <c r="G250" s="301">
        <v>1.8038495018860626E-2</v>
      </c>
    </row>
    <row r="251" spans="1:9">
      <c r="A251" s="278" t="s">
        <v>226</v>
      </c>
      <c r="B251" s="107">
        <v>14612679.9</v>
      </c>
      <c r="C251" s="301">
        <v>6.7583986657245845E-3</v>
      </c>
      <c r="D251" s="698">
        <v>457203.08</v>
      </c>
      <c r="E251" s="301">
        <v>6.3178388114976166E-3</v>
      </c>
      <c r="F251" s="295">
        <v>170</v>
      </c>
      <c r="G251" s="301">
        <v>8.2212979978721346E-3</v>
      </c>
    </row>
    <row r="252" spans="1:9">
      <c r="A252" s="278" t="s">
        <v>419</v>
      </c>
      <c r="B252" s="107">
        <v>1892917.4</v>
      </c>
      <c r="C252" s="301">
        <v>8.7547872929775517E-4</v>
      </c>
      <c r="D252" s="698">
        <v>22538.57</v>
      </c>
      <c r="E252" s="301">
        <v>3.1144814750953961E-4</v>
      </c>
      <c r="F252" s="295">
        <v>24</v>
      </c>
      <c r="G252" s="301">
        <v>1.160653834993713E-3</v>
      </c>
    </row>
    <row r="253" spans="1:9">
      <c r="A253" s="320" t="s">
        <v>783</v>
      </c>
      <c r="B253" s="107">
        <v>500043.78</v>
      </c>
      <c r="C253" s="301">
        <v>2.3127141897879235E-4</v>
      </c>
      <c r="D253" s="698">
        <v>49656.2</v>
      </c>
      <c r="E253" s="301">
        <v>6.8617181579679629E-4</v>
      </c>
      <c r="F253" s="295">
        <v>6</v>
      </c>
      <c r="G253" s="301">
        <v>2.9016345874842826E-4</v>
      </c>
    </row>
    <row r="254" spans="1:9">
      <c r="A254" s="278" t="s">
        <v>391</v>
      </c>
      <c r="B254" s="107">
        <v>421326.96</v>
      </c>
      <c r="C254" s="301">
        <v>1.9486470543283408E-4</v>
      </c>
      <c r="D254" s="698">
        <v>8441</v>
      </c>
      <c r="E254" s="301">
        <v>1.1664155326305191E-4</v>
      </c>
      <c r="F254" s="295">
        <v>6</v>
      </c>
      <c r="G254" s="301">
        <v>2.9016345874842826E-4</v>
      </c>
    </row>
    <row r="255" spans="1:9">
      <c r="A255" s="278" t="s">
        <v>227</v>
      </c>
      <c r="B255" s="107">
        <v>3421551.04</v>
      </c>
      <c r="C255" s="301">
        <v>1.5824753667152158E-3</v>
      </c>
      <c r="D255" s="698">
        <v>347786.33</v>
      </c>
      <c r="E255" s="301">
        <v>4.8058687045203592E-3</v>
      </c>
      <c r="F255" s="295">
        <v>44</v>
      </c>
      <c r="G255" s="301">
        <v>2.1278653641551406E-3</v>
      </c>
    </row>
    <row r="256" spans="1:9">
      <c r="A256" s="278" t="s">
        <v>38</v>
      </c>
      <c r="B256" s="107">
        <v>126820.51</v>
      </c>
      <c r="C256" s="301">
        <v>5.8654782793846817E-5</v>
      </c>
      <c r="D256" s="698">
        <v>0</v>
      </c>
      <c r="E256" s="301">
        <v>0</v>
      </c>
      <c r="F256" s="295">
        <v>2</v>
      </c>
      <c r="G256" s="301">
        <v>9.6721152916142759E-5</v>
      </c>
      <c r="I256" s="306"/>
    </row>
    <row r="257" spans="1:256">
      <c r="A257" s="320" t="s">
        <v>228</v>
      </c>
      <c r="B257" s="107">
        <v>319008.09000000003</v>
      </c>
      <c r="C257" s="301">
        <v>1.4754198850351524E-4</v>
      </c>
      <c r="D257" s="698">
        <v>23896.52</v>
      </c>
      <c r="E257" s="301">
        <v>3.3021291439184753E-4</v>
      </c>
      <c r="F257" s="295">
        <v>5</v>
      </c>
      <c r="G257" s="301">
        <v>2.418028822903569E-4</v>
      </c>
    </row>
    <row r="258" spans="1:256">
      <c r="A258" s="278" t="s">
        <v>229</v>
      </c>
      <c r="B258" s="107">
        <v>105811729.40000001</v>
      </c>
      <c r="C258" s="301">
        <v>4.8938172579484941E-2</v>
      </c>
      <c r="D258" s="698">
        <v>5915838.6699999999</v>
      </c>
      <c r="E258" s="301">
        <v>8.174773265281686E-2</v>
      </c>
      <c r="F258" s="295">
        <v>1049</v>
      </c>
      <c r="G258" s="301">
        <v>5.0730244704516876E-2</v>
      </c>
    </row>
    <row r="259" spans="1:256">
      <c r="A259" s="278" t="s">
        <v>230</v>
      </c>
      <c r="B259" s="107">
        <v>7526044.54</v>
      </c>
      <c r="C259" s="301">
        <v>3.4808132201212313E-3</v>
      </c>
      <c r="D259" s="698">
        <v>449639.81</v>
      </c>
      <c r="E259" s="301">
        <v>6.213326128101355E-3</v>
      </c>
      <c r="F259" s="295">
        <v>70</v>
      </c>
      <c r="G259" s="301">
        <v>3.3852403520649968E-3</v>
      </c>
    </row>
    <row r="260" spans="1:256">
      <c r="A260" s="278" t="s">
        <v>231</v>
      </c>
      <c r="B260" s="107">
        <v>123963703.34</v>
      </c>
      <c r="C260" s="301">
        <v>5.7333503025090847E-2</v>
      </c>
      <c r="D260" s="698">
        <v>4633642.6399999997</v>
      </c>
      <c r="E260" s="301">
        <v>6.4029768368144585E-2</v>
      </c>
      <c r="F260" s="295">
        <v>1165</v>
      </c>
      <c r="G260" s="301">
        <v>5.6340071573653158E-2</v>
      </c>
    </row>
    <row r="261" spans="1:256">
      <c r="A261" s="320" t="s">
        <v>232</v>
      </c>
      <c r="B261" s="107">
        <v>246883581.30000001</v>
      </c>
      <c r="C261" s="301">
        <v>0.11418423436807282</v>
      </c>
      <c r="D261" s="698">
        <v>10838787.17</v>
      </c>
      <c r="E261" s="301">
        <v>0.14977526015832704</v>
      </c>
      <c r="F261" s="295">
        <v>2428</v>
      </c>
      <c r="G261" s="301">
        <v>0.11741947964019731</v>
      </c>
    </row>
    <row r="262" spans="1:256">
      <c r="A262" s="278" t="s">
        <v>233</v>
      </c>
      <c r="B262" s="107">
        <v>221730005.41999999</v>
      </c>
      <c r="C262" s="301">
        <v>0.10255064663269826</v>
      </c>
      <c r="D262" s="698">
        <v>8998592.1600000001</v>
      </c>
      <c r="E262" s="301">
        <v>0.12434661375703368</v>
      </c>
      <c r="F262" s="295">
        <v>2230</v>
      </c>
      <c r="G262" s="301">
        <v>0.10784408550149918</v>
      </c>
    </row>
    <row r="263" spans="1:256">
      <c r="A263" s="278" t="s">
        <v>714</v>
      </c>
      <c r="B263" s="107">
        <v>37571378.939999998</v>
      </c>
      <c r="C263" s="301">
        <v>1.7376850723838051E-2</v>
      </c>
      <c r="D263" s="698">
        <v>1446939.99</v>
      </c>
      <c r="E263" s="301">
        <v>1.999447078687653E-2</v>
      </c>
      <c r="F263" s="295">
        <v>393</v>
      </c>
      <c r="G263" s="301">
        <v>1.9005706548022052E-2</v>
      </c>
    </row>
    <row r="264" spans="1:256">
      <c r="A264" s="278" t="s">
        <v>958</v>
      </c>
      <c r="B264" s="107">
        <v>45707494.369999997</v>
      </c>
      <c r="C264" s="301">
        <v>2.1139823158914328E-2</v>
      </c>
      <c r="D264" s="698">
        <v>1125552.67</v>
      </c>
      <c r="E264" s="301">
        <v>1.5553395534673057E-2</v>
      </c>
      <c r="F264" s="295">
        <v>405</v>
      </c>
      <c r="G264" s="301">
        <v>1.9586033465518907E-2</v>
      </c>
    </row>
    <row r="265" spans="1:256">
      <c r="A265" s="278" t="s">
        <v>980</v>
      </c>
      <c r="B265" s="107">
        <v>24631901.760000002</v>
      </c>
      <c r="C265" s="301">
        <v>1.1392312233503661E-2</v>
      </c>
      <c r="D265" s="698">
        <v>770089.49</v>
      </c>
      <c r="E265" s="301">
        <v>1.0641444646979206E-2</v>
      </c>
      <c r="F265" s="295">
        <v>228</v>
      </c>
      <c r="G265" s="301">
        <v>1.1026211432440274E-2</v>
      </c>
      <c r="H265" s="111"/>
    </row>
    <row r="266" spans="1:256">
      <c r="A266" s="320" t="s">
        <v>547</v>
      </c>
      <c r="B266" s="107">
        <v>22381329.219999999</v>
      </c>
      <c r="C266" s="301">
        <v>1.0351417164594883E-2</v>
      </c>
      <c r="D266" s="698">
        <v>668145.31000000006</v>
      </c>
      <c r="E266" s="301">
        <v>9.232733889802551E-3</v>
      </c>
      <c r="F266" s="295">
        <v>209</v>
      </c>
      <c r="G266" s="301">
        <v>1.0107360479736918E-2</v>
      </c>
      <c r="H266" s="86"/>
      <c r="I266" s="86"/>
      <c r="J266" s="86"/>
      <c r="K266" s="86"/>
    </row>
    <row r="267" spans="1:256">
      <c r="A267" s="278" t="s">
        <v>74</v>
      </c>
      <c r="B267" s="107">
        <v>200263454.25</v>
      </c>
      <c r="C267" s="301">
        <v>9.2622316457954865E-2</v>
      </c>
      <c r="D267" s="698">
        <v>3743668.58</v>
      </c>
      <c r="E267" s="301">
        <v>5.1731704546058986E-2</v>
      </c>
      <c r="F267" s="295">
        <v>1917</v>
      </c>
      <c r="G267" s="301">
        <v>9.2707225070122842E-2</v>
      </c>
      <c r="H267" s="86"/>
      <c r="I267" s="86"/>
      <c r="J267" s="86"/>
      <c r="K267" s="86"/>
    </row>
    <row r="268" spans="1:256">
      <c r="A268" s="278" t="s">
        <v>211</v>
      </c>
      <c r="B268" s="107">
        <v>7239959.3700000001</v>
      </c>
      <c r="C268" s="301">
        <v>3.3484981591985876E-3</v>
      </c>
      <c r="D268" s="698">
        <v>97377.94</v>
      </c>
      <c r="E268" s="301">
        <v>1.345612388953474E-3</v>
      </c>
      <c r="F268" s="295">
        <v>91</v>
      </c>
      <c r="G268" s="301">
        <v>4.4008124576844958E-3</v>
      </c>
      <c r="H268" s="86"/>
      <c r="I268" s="86"/>
      <c r="J268" s="86"/>
      <c r="K268" s="86"/>
    </row>
    <row r="269" spans="1:256">
      <c r="A269" s="278" t="s">
        <v>901</v>
      </c>
      <c r="B269" s="107">
        <v>693360.96</v>
      </c>
      <c r="C269" s="301">
        <v>3.2068106733313968E-4</v>
      </c>
      <c r="D269" s="698">
        <v>13324.65</v>
      </c>
      <c r="E269" s="301">
        <v>1.8412603633296109E-4</v>
      </c>
      <c r="F269" s="295">
        <v>9</v>
      </c>
      <c r="G269" s="301">
        <v>4.3524518812264242E-4</v>
      </c>
      <c r="H269" s="35"/>
      <c r="I269" s="35"/>
      <c r="J269" s="35"/>
      <c r="K269" s="35"/>
    </row>
    <row r="270" spans="1:256" ht="13.5" thickBot="1">
      <c r="A270" s="318" t="s">
        <v>803</v>
      </c>
      <c r="B270" s="113">
        <v>2162151216.9899998</v>
      </c>
      <c r="C270" s="297">
        <v>1</v>
      </c>
      <c r="D270" s="816">
        <v>72367006.13000001</v>
      </c>
      <c r="E270" s="297">
        <v>1</v>
      </c>
      <c r="F270" s="298">
        <v>20678</v>
      </c>
      <c r="G270" s="297">
        <v>1</v>
      </c>
      <c r="H270" s="35"/>
      <c r="I270" s="35"/>
      <c r="J270" s="35"/>
      <c r="K270" s="35"/>
      <c r="L270" s="86"/>
    </row>
    <row r="271" spans="1:256" ht="13.5" thickTop="1">
      <c r="A271" s="278"/>
      <c r="C271" s="301"/>
      <c r="D271" s="698"/>
      <c r="E271" s="301"/>
      <c r="F271" s="295"/>
      <c r="G271" s="301"/>
      <c r="H271" s="35"/>
      <c r="I271" s="35"/>
      <c r="J271" s="35"/>
      <c r="K271" s="35"/>
      <c r="L271" s="86"/>
    </row>
    <row r="272" spans="1:256" s="35" customFormat="1">
      <c r="H272" s="33"/>
      <c r="I272" s="33"/>
      <c r="J272" s="33"/>
      <c r="K272" s="33"/>
      <c r="AK272" s="33"/>
      <c r="AL272" s="33"/>
      <c r="AM272" s="33"/>
      <c r="AN272" s="33"/>
      <c r="AO272" s="33"/>
      <c r="AP272" s="33"/>
      <c r="AQ272" s="33"/>
      <c r="AR272" s="33"/>
      <c r="AS272" s="33"/>
      <c r="AT272" s="33"/>
      <c r="AU272" s="33"/>
      <c r="AV272" s="33"/>
      <c r="AW272" s="33"/>
      <c r="AX272" s="33"/>
      <c r="AY272" s="33"/>
      <c r="AZ272" s="33"/>
      <c r="BA272" s="33"/>
      <c r="BB272" s="33"/>
      <c r="BC272" s="33"/>
      <c r="BD272" s="33"/>
      <c r="BE272" s="33"/>
      <c r="BF272" s="33"/>
      <c r="BG272" s="33"/>
      <c r="BH272" s="33"/>
      <c r="BI272" s="33"/>
      <c r="BJ272" s="33"/>
      <c r="BK272" s="33"/>
      <c r="BL272" s="33"/>
      <c r="BM272" s="33"/>
      <c r="BN272" s="33"/>
      <c r="BO272" s="33"/>
      <c r="BP272" s="33"/>
      <c r="BQ272" s="33"/>
      <c r="BR272" s="33"/>
      <c r="BS272" s="33"/>
      <c r="BT272" s="33"/>
      <c r="BU272" s="33"/>
      <c r="BV272" s="33"/>
      <c r="BW272" s="33"/>
      <c r="BX272" s="33"/>
      <c r="BY272" s="33"/>
      <c r="BZ272" s="33"/>
      <c r="CA272" s="33"/>
      <c r="CB272" s="33"/>
      <c r="CC272" s="33"/>
      <c r="CD272" s="33"/>
      <c r="CE272" s="33"/>
      <c r="CF272" s="33"/>
      <c r="CG272" s="33"/>
      <c r="CH272" s="33"/>
      <c r="CI272" s="33"/>
      <c r="CJ272" s="33"/>
      <c r="CK272" s="33"/>
      <c r="CL272" s="33"/>
      <c r="CM272" s="33"/>
      <c r="CN272" s="33"/>
      <c r="CO272" s="33"/>
      <c r="CP272" s="33"/>
      <c r="CQ272" s="33"/>
      <c r="CR272" s="33"/>
      <c r="CS272" s="33"/>
      <c r="CT272" s="33"/>
      <c r="CU272" s="33"/>
      <c r="CV272" s="33"/>
      <c r="CW272" s="33"/>
      <c r="CX272" s="33"/>
      <c r="CY272" s="33"/>
      <c r="CZ272" s="33"/>
      <c r="DA272" s="33"/>
      <c r="DB272" s="33"/>
      <c r="DC272" s="33"/>
      <c r="DD272" s="33"/>
      <c r="DE272" s="33"/>
      <c r="DF272" s="33"/>
      <c r="DG272" s="33"/>
      <c r="DH272" s="33"/>
      <c r="DI272" s="33"/>
      <c r="DJ272" s="33"/>
      <c r="DK272" s="33"/>
      <c r="DL272" s="33"/>
      <c r="DM272" s="33"/>
      <c r="DN272" s="33"/>
      <c r="DO272" s="33"/>
      <c r="DP272" s="33"/>
      <c r="DQ272" s="33"/>
      <c r="DR272" s="33"/>
      <c r="DS272" s="33"/>
      <c r="DT272" s="33"/>
      <c r="DU272" s="33"/>
      <c r="DV272" s="33"/>
      <c r="DW272" s="33"/>
      <c r="DX272" s="33"/>
      <c r="DY272" s="33"/>
      <c r="DZ272" s="33"/>
      <c r="EA272" s="33"/>
      <c r="EB272" s="33"/>
      <c r="EC272" s="33"/>
      <c r="ED272" s="33"/>
      <c r="EE272" s="33"/>
      <c r="EF272" s="33"/>
      <c r="EG272" s="33"/>
      <c r="EH272" s="33"/>
      <c r="EI272" s="33"/>
      <c r="EJ272" s="33"/>
      <c r="EK272" s="33"/>
      <c r="EL272" s="33"/>
      <c r="EM272" s="33"/>
      <c r="EN272" s="33"/>
      <c r="EO272" s="33"/>
      <c r="EP272" s="33"/>
      <c r="EQ272" s="33"/>
      <c r="ER272" s="33"/>
      <c r="ES272" s="33"/>
      <c r="ET272" s="33"/>
      <c r="EU272" s="33"/>
      <c r="EV272" s="33"/>
      <c r="EW272" s="33"/>
      <c r="EX272" s="33"/>
      <c r="EY272" s="33"/>
      <c r="EZ272" s="33"/>
      <c r="FA272" s="33"/>
      <c r="FB272" s="33"/>
      <c r="FC272" s="33"/>
      <c r="FD272" s="33"/>
      <c r="FE272" s="33"/>
      <c r="FF272" s="33"/>
      <c r="FG272" s="33"/>
      <c r="FH272" s="33"/>
      <c r="FI272" s="33"/>
      <c r="FJ272" s="33"/>
      <c r="FK272" s="33"/>
      <c r="FL272" s="33"/>
      <c r="FM272" s="33"/>
      <c r="FN272" s="33"/>
      <c r="FO272" s="33"/>
      <c r="FP272" s="33"/>
      <c r="FQ272" s="33"/>
      <c r="FR272" s="33"/>
      <c r="FS272" s="33"/>
      <c r="FT272" s="33"/>
      <c r="FU272" s="33"/>
      <c r="FV272" s="33"/>
      <c r="FW272" s="33"/>
      <c r="FX272" s="33"/>
      <c r="FY272" s="33"/>
      <c r="FZ272" s="33"/>
      <c r="GA272" s="33"/>
      <c r="GB272" s="33"/>
      <c r="GC272" s="33"/>
      <c r="GD272" s="33"/>
      <c r="GE272" s="33"/>
      <c r="GF272" s="33"/>
      <c r="GG272" s="33"/>
      <c r="GH272" s="33"/>
      <c r="GI272" s="33"/>
      <c r="GJ272" s="33"/>
      <c r="GK272" s="33"/>
      <c r="GL272" s="33"/>
      <c r="GM272" s="33"/>
      <c r="GN272" s="33"/>
      <c r="GO272" s="33"/>
      <c r="GP272" s="33"/>
      <c r="GQ272" s="33"/>
      <c r="GR272" s="33"/>
      <c r="GS272" s="33"/>
      <c r="GT272" s="33"/>
      <c r="GU272" s="33"/>
      <c r="GV272" s="33"/>
      <c r="GW272" s="33"/>
      <c r="GX272" s="33"/>
      <c r="GY272" s="33"/>
      <c r="GZ272" s="33"/>
      <c r="HA272" s="33"/>
      <c r="HB272" s="33"/>
      <c r="HC272" s="33"/>
      <c r="HD272" s="33"/>
      <c r="HE272" s="33"/>
      <c r="HF272" s="33"/>
      <c r="HG272" s="33"/>
      <c r="HH272" s="33"/>
      <c r="HI272" s="33"/>
      <c r="HJ272" s="33"/>
      <c r="HK272" s="33"/>
      <c r="HL272" s="33"/>
      <c r="HM272" s="33"/>
      <c r="HN272" s="33"/>
      <c r="HO272" s="33"/>
      <c r="HP272" s="33"/>
      <c r="HQ272" s="33"/>
      <c r="HR272" s="33"/>
      <c r="HS272" s="33"/>
      <c r="HT272" s="33"/>
      <c r="HU272" s="33"/>
      <c r="HV272" s="33"/>
      <c r="HW272" s="33"/>
      <c r="HX272" s="33"/>
      <c r="HY272" s="33"/>
      <c r="HZ272" s="33"/>
      <c r="IA272" s="33"/>
      <c r="IB272" s="33"/>
      <c r="IC272" s="33"/>
      <c r="ID272" s="33"/>
      <c r="IE272" s="33"/>
      <c r="IF272" s="33"/>
      <c r="IG272" s="33"/>
      <c r="IH272" s="33"/>
      <c r="II272" s="33"/>
      <c r="IJ272" s="33"/>
      <c r="IK272" s="33"/>
      <c r="IL272" s="33"/>
      <c r="IM272" s="33"/>
      <c r="IN272" s="33"/>
      <c r="IO272" s="33"/>
      <c r="IP272" s="33"/>
      <c r="IQ272" s="33"/>
      <c r="IR272" s="33"/>
      <c r="IS272" s="33"/>
      <c r="IT272" s="33"/>
      <c r="IU272" s="33"/>
      <c r="IV272" s="33"/>
    </row>
    <row r="273" spans="1:256" s="35" customFormat="1">
      <c r="B273" s="328"/>
      <c r="C273" s="302"/>
      <c r="D273" s="560"/>
      <c r="E273" s="302"/>
      <c r="F273" s="329"/>
      <c r="G273" s="466"/>
      <c r="H273" s="33"/>
      <c r="I273" s="33"/>
      <c r="J273" s="33"/>
      <c r="K273" s="33"/>
      <c r="AK273" s="33"/>
      <c r="AL273" s="33"/>
      <c r="AM273" s="33"/>
      <c r="AN273" s="33"/>
      <c r="AO273" s="33"/>
      <c r="AP273" s="33"/>
      <c r="AQ273" s="33"/>
      <c r="AR273" s="33"/>
      <c r="AS273" s="33"/>
      <c r="AT273" s="33"/>
      <c r="AU273" s="33"/>
      <c r="AV273" s="33"/>
      <c r="AW273" s="33"/>
      <c r="AX273" s="33"/>
      <c r="AY273" s="33"/>
      <c r="AZ273" s="33"/>
      <c r="BA273" s="33"/>
      <c r="BB273" s="33"/>
      <c r="BC273" s="33"/>
      <c r="BD273" s="33"/>
      <c r="BE273" s="33"/>
      <c r="BF273" s="33"/>
      <c r="BG273" s="33"/>
      <c r="BH273" s="33"/>
      <c r="BI273" s="33"/>
      <c r="BJ273" s="33"/>
      <c r="BK273" s="33"/>
      <c r="BL273" s="33"/>
      <c r="BM273" s="33"/>
      <c r="BN273" s="33"/>
      <c r="BO273" s="33"/>
      <c r="BP273" s="33"/>
      <c r="BQ273" s="33"/>
      <c r="BR273" s="33"/>
      <c r="BS273" s="33"/>
      <c r="BT273" s="33"/>
      <c r="BU273" s="33"/>
      <c r="BV273" s="33"/>
      <c r="BW273" s="33"/>
      <c r="BX273" s="33"/>
      <c r="BY273" s="33"/>
      <c r="BZ273" s="33"/>
      <c r="CA273" s="33"/>
      <c r="CB273" s="33"/>
      <c r="CC273" s="33"/>
      <c r="CD273" s="33"/>
      <c r="CE273" s="33"/>
      <c r="CF273" s="33"/>
      <c r="CG273" s="33"/>
      <c r="CH273" s="33"/>
      <c r="CI273" s="33"/>
      <c r="CJ273" s="33"/>
      <c r="CK273" s="33"/>
      <c r="CL273" s="33"/>
      <c r="CM273" s="33"/>
      <c r="CN273" s="33"/>
      <c r="CO273" s="33"/>
      <c r="CP273" s="33"/>
      <c r="CQ273" s="33"/>
      <c r="CR273" s="33"/>
      <c r="CS273" s="33"/>
      <c r="CT273" s="33"/>
      <c r="CU273" s="33"/>
      <c r="CV273" s="33"/>
      <c r="CW273" s="33"/>
      <c r="CX273" s="33"/>
      <c r="CY273" s="33"/>
      <c r="CZ273" s="33"/>
      <c r="DA273" s="33"/>
      <c r="DB273" s="33"/>
      <c r="DC273" s="33"/>
      <c r="DD273" s="33"/>
      <c r="DE273" s="33"/>
      <c r="DF273" s="33"/>
      <c r="DG273" s="33"/>
      <c r="DH273" s="33"/>
      <c r="DI273" s="33"/>
      <c r="DJ273" s="33"/>
      <c r="DK273" s="33"/>
      <c r="DL273" s="33"/>
      <c r="DM273" s="33"/>
      <c r="DN273" s="33"/>
      <c r="DO273" s="33"/>
      <c r="DP273" s="33"/>
      <c r="DQ273" s="33"/>
      <c r="DR273" s="33"/>
      <c r="DS273" s="33"/>
      <c r="DT273" s="33"/>
      <c r="DU273" s="33"/>
      <c r="DV273" s="33"/>
      <c r="DW273" s="33"/>
      <c r="DX273" s="33"/>
      <c r="DY273" s="33"/>
      <c r="DZ273" s="33"/>
      <c r="EA273" s="33"/>
      <c r="EB273" s="33"/>
      <c r="EC273" s="33"/>
      <c r="ED273" s="33"/>
      <c r="EE273" s="33"/>
      <c r="EF273" s="33"/>
      <c r="EG273" s="33"/>
      <c r="EH273" s="33"/>
      <c r="EI273" s="33"/>
      <c r="EJ273" s="33"/>
      <c r="EK273" s="33"/>
      <c r="EL273" s="33"/>
      <c r="EM273" s="33"/>
      <c r="EN273" s="33"/>
      <c r="EO273" s="33"/>
      <c r="EP273" s="33"/>
      <c r="EQ273" s="33"/>
      <c r="ER273" s="33"/>
      <c r="ES273" s="33"/>
      <c r="ET273" s="33"/>
      <c r="EU273" s="33"/>
      <c r="EV273" s="33"/>
      <c r="EW273" s="33"/>
      <c r="EX273" s="33"/>
      <c r="EY273" s="33"/>
      <c r="EZ273" s="33"/>
      <c r="FA273" s="33"/>
      <c r="FB273" s="33"/>
      <c r="FC273" s="33"/>
      <c r="FD273" s="33"/>
      <c r="FE273" s="33"/>
      <c r="FF273" s="33"/>
      <c r="FG273" s="33"/>
      <c r="FH273" s="33"/>
      <c r="FI273" s="33"/>
      <c r="FJ273" s="33"/>
      <c r="FK273" s="33"/>
      <c r="FL273" s="33"/>
      <c r="FM273" s="33"/>
      <c r="FN273" s="33"/>
      <c r="FO273" s="33"/>
      <c r="FP273" s="33"/>
      <c r="FQ273" s="33"/>
      <c r="FR273" s="33"/>
      <c r="FS273" s="33"/>
      <c r="FT273" s="33"/>
      <c r="FU273" s="33"/>
      <c r="FV273" s="33"/>
      <c r="FW273" s="33"/>
      <c r="FX273" s="33"/>
      <c r="FY273" s="33"/>
      <c r="FZ273" s="33"/>
      <c r="GA273" s="33"/>
      <c r="GB273" s="33"/>
      <c r="GC273" s="33"/>
      <c r="GD273" s="33"/>
      <c r="GE273" s="33"/>
      <c r="GF273" s="33"/>
      <c r="GG273" s="33"/>
      <c r="GH273" s="33"/>
      <c r="GI273" s="33"/>
      <c r="GJ273" s="33"/>
      <c r="GK273" s="33"/>
      <c r="GL273" s="33"/>
      <c r="GM273" s="33"/>
      <c r="GN273" s="33"/>
      <c r="GO273" s="33"/>
      <c r="GP273" s="33"/>
      <c r="GQ273" s="33"/>
      <c r="GR273" s="33"/>
      <c r="GS273" s="33"/>
      <c r="GT273" s="33"/>
      <c r="GU273" s="33"/>
      <c r="GV273" s="33"/>
      <c r="GW273" s="33"/>
      <c r="GX273" s="33"/>
      <c r="GY273" s="33"/>
      <c r="GZ273" s="33"/>
      <c r="HA273" s="33"/>
      <c r="HB273" s="33"/>
      <c r="HC273" s="33"/>
      <c r="HD273" s="33"/>
      <c r="HE273" s="33"/>
      <c r="HF273" s="33"/>
      <c r="HG273" s="33"/>
      <c r="HH273" s="33"/>
      <c r="HI273" s="33"/>
      <c r="HJ273" s="33"/>
      <c r="HK273" s="33"/>
      <c r="HL273" s="33"/>
      <c r="HM273" s="33"/>
      <c r="HN273" s="33"/>
      <c r="HO273" s="33"/>
      <c r="HP273" s="33"/>
      <c r="HQ273" s="33"/>
      <c r="HR273" s="33"/>
      <c r="HS273" s="33"/>
      <c r="HT273" s="33"/>
      <c r="HU273" s="33"/>
      <c r="HV273" s="33"/>
      <c r="HW273" s="33"/>
      <c r="HX273" s="33"/>
      <c r="HY273" s="33"/>
      <c r="HZ273" s="33"/>
      <c r="IA273" s="33"/>
      <c r="IB273" s="33"/>
      <c r="IC273" s="33"/>
      <c r="ID273" s="33"/>
      <c r="IE273" s="33"/>
      <c r="IF273" s="33"/>
      <c r="IG273" s="33"/>
      <c r="IH273" s="33"/>
      <c r="II273" s="33"/>
      <c r="IJ273" s="33"/>
      <c r="IK273" s="33"/>
      <c r="IL273" s="33"/>
      <c r="IM273" s="33"/>
      <c r="IN273" s="33"/>
      <c r="IO273" s="33"/>
      <c r="IP273" s="33"/>
      <c r="IQ273" s="33"/>
      <c r="IR273" s="33"/>
      <c r="IS273" s="33"/>
      <c r="IT273" s="33"/>
      <c r="IU273" s="33"/>
      <c r="IV273" s="33"/>
    </row>
    <row r="274" spans="1:256" s="35" customFormat="1">
      <c r="B274" s="328"/>
      <c r="C274" s="302"/>
      <c r="D274" s="560"/>
      <c r="E274" s="302"/>
      <c r="F274" s="329"/>
      <c r="G274" s="293"/>
      <c r="H274" s="33"/>
      <c r="I274" s="33"/>
      <c r="J274" s="33"/>
      <c r="K274" s="33"/>
      <c r="AK274" s="33"/>
      <c r="AL274" s="33"/>
      <c r="AM274" s="33"/>
      <c r="AN274" s="33"/>
      <c r="AO274" s="33"/>
      <c r="AP274" s="33"/>
      <c r="AQ274" s="33"/>
      <c r="AR274" s="33"/>
      <c r="AS274" s="33"/>
      <c r="AT274" s="33"/>
      <c r="AU274" s="33"/>
      <c r="AV274" s="33"/>
      <c r="AW274" s="33"/>
      <c r="AX274" s="33"/>
      <c r="AY274" s="33"/>
      <c r="AZ274" s="33"/>
      <c r="BA274" s="33"/>
      <c r="BB274" s="33"/>
      <c r="BC274" s="33"/>
      <c r="BD274" s="33"/>
      <c r="BE274" s="33"/>
      <c r="BF274" s="33"/>
      <c r="BG274" s="33"/>
      <c r="BH274" s="33"/>
      <c r="BI274" s="33"/>
      <c r="BJ274" s="33"/>
      <c r="BK274" s="33"/>
      <c r="BL274" s="33"/>
      <c r="BM274" s="33"/>
      <c r="BN274" s="33"/>
      <c r="BO274" s="33"/>
      <c r="BP274" s="33"/>
      <c r="BQ274" s="33"/>
      <c r="BR274" s="33"/>
      <c r="BS274" s="33"/>
      <c r="BT274" s="33"/>
      <c r="BU274" s="33"/>
      <c r="BV274" s="33"/>
      <c r="BW274" s="33"/>
      <c r="BX274" s="33"/>
      <c r="BY274" s="33"/>
      <c r="BZ274" s="33"/>
      <c r="CA274" s="33"/>
      <c r="CB274" s="33"/>
      <c r="CC274" s="33"/>
      <c r="CD274" s="33"/>
      <c r="CE274" s="33"/>
      <c r="CF274" s="33"/>
      <c r="CG274" s="33"/>
      <c r="CH274" s="33"/>
      <c r="CI274" s="33"/>
      <c r="CJ274" s="33"/>
      <c r="CK274" s="33"/>
      <c r="CL274" s="33"/>
      <c r="CM274" s="33"/>
      <c r="CN274" s="33"/>
      <c r="CO274" s="33"/>
      <c r="CP274" s="33"/>
      <c r="CQ274" s="33"/>
      <c r="CR274" s="33"/>
      <c r="CS274" s="33"/>
      <c r="CT274" s="33"/>
      <c r="CU274" s="33"/>
      <c r="CV274" s="33"/>
      <c r="CW274" s="33"/>
      <c r="CX274" s="33"/>
      <c r="CY274" s="33"/>
      <c r="CZ274" s="33"/>
      <c r="DA274" s="33"/>
      <c r="DB274" s="33"/>
      <c r="DC274" s="33"/>
      <c r="DD274" s="33"/>
      <c r="DE274" s="33"/>
      <c r="DF274" s="33"/>
      <c r="DG274" s="33"/>
      <c r="DH274" s="33"/>
      <c r="DI274" s="33"/>
      <c r="DJ274" s="33"/>
      <c r="DK274" s="33"/>
      <c r="DL274" s="33"/>
      <c r="DM274" s="33"/>
      <c r="DN274" s="33"/>
      <c r="DO274" s="33"/>
      <c r="DP274" s="33"/>
      <c r="DQ274" s="33"/>
      <c r="DR274" s="33"/>
      <c r="DS274" s="33"/>
      <c r="DT274" s="33"/>
      <c r="DU274" s="33"/>
      <c r="DV274" s="33"/>
      <c r="DW274" s="33"/>
      <c r="DX274" s="33"/>
      <c r="DY274" s="33"/>
      <c r="DZ274" s="33"/>
      <c r="EA274" s="33"/>
      <c r="EB274" s="33"/>
      <c r="EC274" s="33"/>
      <c r="ED274" s="33"/>
      <c r="EE274" s="33"/>
      <c r="EF274" s="33"/>
      <c r="EG274" s="33"/>
      <c r="EH274" s="33"/>
      <c r="EI274" s="33"/>
      <c r="EJ274" s="33"/>
      <c r="EK274" s="33"/>
      <c r="EL274" s="33"/>
      <c r="EM274" s="33"/>
      <c r="EN274" s="33"/>
      <c r="EO274" s="33"/>
      <c r="EP274" s="33"/>
      <c r="EQ274" s="33"/>
      <c r="ER274" s="33"/>
      <c r="ES274" s="33"/>
      <c r="ET274" s="33"/>
      <c r="EU274" s="33"/>
      <c r="EV274" s="33"/>
      <c r="EW274" s="33"/>
      <c r="EX274" s="33"/>
      <c r="EY274" s="33"/>
      <c r="EZ274" s="33"/>
      <c r="FA274" s="33"/>
      <c r="FB274" s="33"/>
      <c r="FC274" s="33"/>
      <c r="FD274" s="33"/>
      <c r="FE274" s="33"/>
      <c r="FF274" s="33"/>
      <c r="FG274" s="33"/>
      <c r="FH274" s="33"/>
      <c r="FI274" s="33"/>
      <c r="FJ274" s="33"/>
      <c r="FK274" s="33"/>
      <c r="FL274" s="33"/>
      <c r="FM274" s="33"/>
      <c r="FN274" s="33"/>
      <c r="FO274" s="33"/>
      <c r="FP274" s="33"/>
      <c r="FQ274" s="33"/>
      <c r="FR274" s="33"/>
      <c r="FS274" s="33"/>
      <c r="FT274" s="33"/>
      <c r="FU274" s="33"/>
      <c r="FV274" s="33"/>
      <c r="FW274" s="33"/>
      <c r="FX274" s="33"/>
      <c r="FY274" s="33"/>
      <c r="FZ274" s="33"/>
      <c r="GA274" s="33"/>
      <c r="GB274" s="33"/>
      <c r="GC274" s="33"/>
      <c r="GD274" s="33"/>
      <c r="GE274" s="33"/>
      <c r="GF274" s="33"/>
      <c r="GG274" s="33"/>
      <c r="GH274" s="33"/>
      <c r="GI274" s="33"/>
      <c r="GJ274" s="33"/>
      <c r="GK274" s="33"/>
      <c r="GL274" s="33"/>
      <c r="GM274" s="33"/>
      <c r="GN274" s="33"/>
      <c r="GO274" s="33"/>
      <c r="GP274" s="33"/>
      <c r="GQ274" s="33"/>
      <c r="GR274" s="33"/>
      <c r="GS274" s="33"/>
      <c r="GT274" s="33"/>
      <c r="GU274" s="33"/>
      <c r="GV274" s="33"/>
      <c r="GW274" s="33"/>
      <c r="GX274" s="33"/>
      <c r="GY274" s="33"/>
      <c r="GZ274" s="33"/>
      <c r="HA274" s="33"/>
      <c r="HB274" s="33"/>
      <c r="HC274" s="33"/>
      <c r="HD274" s="33"/>
      <c r="HE274" s="33"/>
      <c r="HF274" s="33"/>
      <c r="HG274" s="33"/>
      <c r="HH274" s="33"/>
      <c r="HI274" s="33"/>
      <c r="HJ274" s="33"/>
      <c r="HK274" s="33"/>
      <c r="HL274" s="33"/>
      <c r="HM274" s="33"/>
      <c r="HN274" s="33"/>
      <c r="HO274" s="33"/>
      <c r="HP274" s="33"/>
      <c r="HQ274" s="33"/>
      <c r="HR274" s="33"/>
      <c r="HS274" s="33"/>
      <c r="HT274" s="33"/>
      <c r="HU274" s="33"/>
      <c r="HV274" s="33"/>
      <c r="HW274" s="33"/>
      <c r="HX274" s="33"/>
      <c r="HY274" s="33"/>
      <c r="HZ274" s="33"/>
      <c r="IA274" s="33"/>
      <c r="IB274" s="33"/>
      <c r="IC274" s="33"/>
      <c r="ID274" s="33"/>
      <c r="IE274" s="33"/>
      <c r="IF274" s="33"/>
      <c r="IG274" s="33"/>
      <c r="IH274" s="33"/>
      <c r="II274" s="33"/>
      <c r="IJ274" s="33"/>
      <c r="IK274" s="33"/>
      <c r="IL274" s="33"/>
      <c r="IM274" s="33"/>
      <c r="IN274" s="33"/>
      <c r="IO274" s="33"/>
      <c r="IP274" s="33"/>
      <c r="IQ274" s="33"/>
      <c r="IR274" s="33"/>
      <c r="IS274" s="33"/>
      <c r="IT274" s="33"/>
      <c r="IU274" s="33"/>
      <c r="IV274" s="33"/>
    </row>
    <row r="275" spans="1:256">
      <c r="A275" s="332"/>
      <c r="B275" s="35"/>
      <c r="C275" s="35"/>
      <c r="D275" s="317"/>
      <c r="E275" s="35"/>
      <c r="F275" s="311"/>
      <c r="G275" s="301"/>
    </row>
    <row r="276" spans="1:256" ht="15.75">
      <c r="A276" s="456" t="s">
        <v>234</v>
      </c>
      <c r="B276" s="35"/>
      <c r="C276" s="35"/>
      <c r="D276" s="317"/>
      <c r="E276" s="35"/>
      <c r="F276" s="311"/>
      <c r="G276" s="302"/>
    </row>
    <row r="277" spans="1:256" ht="25.5">
      <c r="A277" s="327" t="s">
        <v>709</v>
      </c>
      <c r="B277" s="292" t="s">
        <v>948</v>
      </c>
      <c r="C277" s="293" t="s">
        <v>1010</v>
      </c>
      <c r="D277" s="333" t="s">
        <v>947</v>
      </c>
      <c r="E277" s="293" t="s">
        <v>1010</v>
      </c>
      <c r="F277" s="292" t="s">
        <v>1011</v>
      </c>
      <c r="G277" s="293" t="s">
        <v>1010</v>
      </c>
    </row>
    <row r="278" spans="1:256">
      <c r="A278" s="695" t="s">
        <v>537</v>
      </c>
      <c r="B278" s="739">
        <v>3825845357.27</v>
      </c>
      <c r="C278" s="301">
        <v>0.43629860222496319</v>
      </c>
      <c r="D278" s="742">
        <v>94966931.579999998</v>
      </c>
      <c r="E278" s="301">
        <v>0.26422097492644137</v>
      </c>
      <c r="F278" s="344">
        <v>28871</v>
      </c>
      <c r="G278" s="301">
        <v>0.33242371905584339</v>
      </c>
    </row>
    <row r="279" spans="1:256">
      <c r="A279" s="336" t="s">
        <v>538</v>
      </c>
      <c r="B279" s="739">
        <v>4943023801.9700003</v>
      </c>
      <c r="C279" s="301">
        <v>0.56370139777503692</v>
      </c>
      <c r="D279" s="742">
        <v>264455448.13999999</v>
      </c>
      <c r="E279" s="301">
        <v>0.73577902507355863</v>
      </c>
      <c r="F279" s="344">
        <v>57979</v>
      </c>
      <c r="G279" s="301">
        <v>0.66757628094415655</v>
      </c>
    </row>
    <row r="280" spans="1:256" ht="13.5" thickBot="1">
      <c r="A280" s="318" t="s">
        <v>803</v>
      </c>
      <c r="B280" s="373">
        <v>8768869159.2399998</v>
      </c>
      <c r="C280" s="297">
        <v>1</v>
      </c>
      <c r="D280" s="363">
        <v>359422379.71999997</v>
      </c>
      <c r="E280" s="297">
        <v>1</v>
      </c>
      <c r="F280" s="307">
        <v>86850</v>
      </c>
      <c r="G280" s="297">
        <v>1</v>
      </c>
    </row>
    <row r="281" spans="1:256" ht="13.5" thickTop="1"/>
    <row r="282" spans="1:256">
      <c r="B282" s="107" t="s">
        <v>622</v>
      </c>
      <c r="G282" s="111"/>
    </row>
    <row r="283" spans="1:256">
      <c r="A283" s="273"/>
    </row>
    <row r="284" spans="1:256" ht="15.75">
      <c r="A284" s="456" t="s">
        <v>706</v>
      </c>
      <c r="B284" s="35"/>
      <c r="C284" s="301"/>
      <c r="E284" s="301"/>
      <c r="G284" s="306"/>
    </row>
    <row r="285" spans="1:256">
      <c r="A285" s="335" t="s">
        <v>707</v>
      </c>
      <c r="B285" s="292" t="s">
        <v>943</v>
      </c>
      <c r="C285" s="293" t="s">
        <v>1010</v>
      </c>
      <c r="D285" s="292" t="s">
        <v>892</v>
      </c>
      <c r="E285" s="293" t="s">
        <v>1010</v>
      </c>
    </row>
    <row r="286" spans="1:256">
      <c r="A286" s="107" t="s">
        <v>879</v>
      </c>
      <c r="B286" s="107">
        <v>8962394926.6399994</v>
      </c>
      <c r="C286" s="301">
        <v>0.98182610496039235</v>
      </c>
      <c r="D286" s="295">
        <v>85421</v>
      </c>
      <c r="E286" s="301">
        <v>0.98354634427173282</v>
      </c>
      <c r="F286" s="111"/>
    </row>
    <row r="287" spans="1:256">
      <c r="A287" s="107" t="s">
        <v>880</v>
      </c>
      <c r="B287" s="107">
        <v>62533667.719999999</v>
      </c>
      <c r="C287" s="301">
        <v>6.8505335804737643E-3</v>
      </c>
      <c r="D287" s="295">
        <v>530</v>
      </c>
      <c r="E287" s="301">
        <v>6.1024755325273456E-3</v>
      </c>
    </row>
    <row r="288" spans="1:256">
      <c r="A288" s="107" t="s">
        <v>881</v>
      </c>
      <c r="B288" s="107">
        <v>25233234.300000001</v>
      </c>
      <c r="C288" s="301">
        <v>2.7642888258228079E-3</v>
      </c>
      <c r="D288" s="295">
        <v>227</v>
      </c>
      <c r="E288" s="301">
        <v>2.6137017846862409E-3</v>
      </c>
    </row>
    <row r="289" spans="1:5">
      <c r="A289" s="107" t="s">
        <v>882</v>
      </c>
      <c r="B289" s="107">
        <v>18170024.52</v>
      </c>
      <c r="C289" s="301">
        <v>1.9905175511156104E-3</v>
      </c>
      <c r="D289" s="295">
        <v>153</v>
      </c>
      <c r="E289" s="301">
        <v>1.761658031088083E-3</v>
      </c>
    </row>
    <row r="290" spans="1:5">
      <c r="A290" s="107" t="s">
        <v>883</v>
      </c>
      <c r="B290" s="107">
        <v>10416820.33</v>
      </c>
      <c r="C290" s="301">
        <v>1.1411577167031201E-3</v>
      </c>
      <c r="D290" s="295">
        <v>99</v>
      </c>
      <c r="E290" s="301">
        <v>1.1398963730569949E-3</v>
      </c>
    </row>
    <row r="291" spans="1:5">
      <c r="A291" s="107" t="s">
        <v>884</v>
      </c>
      <c r="B291" s="107">
        <v>7311770.5599999996</v>
      </c>
      <c r="C291" s="301">
        <v>8.0100099003115792E-4</v>
      </c>
      <c r="D291" s="295">
        <v>57</v>
      </c>
      <c r="E291" s="301">
        <v>6.5630397236614854E-4</v>
      </c>
    </row>
    <row r="292" spans="1:5">
      <c r="A292" s="107" t="s">
        <v>885</v>
      </c>
      <c r="B292" s="107">
        <v>42231094.890000001</v>
      </c>
      <c r="C292" s="301">
        <v>4.626396375461455E-3</v>
      </c>
      <c r="D292" s="295">
        <v>363</v>
      </c>
      <c r="E292" s="301">
        <v>4.1796200345423145E-3</v>
      </c>
    </row>
    <row r="293" spans="1:5" ht="13.5" thickBot="1">
      <c r="A293" s="318" t="s">
        <v>803</v>
      </c>
      <c r="B293" s="113">
        <v>9128291538.9599972</v>
      </c>
      <c r="C293" s="297">
        <v>1</v>
      </c>
      <c r="D293" s="298">
        <v>86850</v>
      </c>
      <c r="E293" s="297">
        <v>1</v>
      </c>
    </row>
    <row r="294" spans="1:5" ht="13.5" thickTop="1">
      <c r="A294" s="318"/>
      <c r="B294" s="328"/>
      <c r="C294" s="302"/>
      <c r="D294" s="329"/>
      <c r="E294" s="302"/>
    </row>
    <row r="295" spans="1:5">
      <c r="A295" s="318" t="s">
        <v>135</v>
      </c>
      <c r="B295" s="390">
        <f>+C292+C291+C290+C289</f>
        <v>8.5590726333113435E-3</v>
      </c>
      <c r="C295" s="302"/>
      <c r="D295" s="329"/>
      <c r="E295" s="302"/>
    </row>
    <row r="296" spans="1:5">
      <c r="A296" s="318"/>
      <c r="B296" s="390"/>
      <c r="C296" s="302"/>
      <c r="D296" s="329"/>
      <c r="E296" s="302"/>
    </row>
    <row r="297" spans="1:5">
      <c r="A297" s="318"/>
      <c r="B297" s="390"/>
      <c r="C297" s="302"/>
      <c r="D297" s="329"/>
      <c r="E297" s="302"/>
    </row>
    <row r="298" spans="1:5">
      <c r="A298" s="318"/>
      <c r="B298" s="390"/>
      <c r="C298" s="302"/>
      <c r="D298" s="329"/>
      <c r="E298" s="302"/>
    </row>
    <row r="299" spans="1:5" ht="15.75">
      <c r="A299" s="456" t="s">
        <v>886</v>
      </c>
      <c r="B299" s="390"/>
      <c r="C299" s="302"/>
      <c r="D299" s="329"/>
      <c r="E299" s="302"/>
    </row>
    <row r="300" spans="1:5">
      <c r="A300" s="335" t="s">
        <v>889</v>
      </c>
      <c r="B300" s="292" t="s">
        <v>890</v>
      </c>
      <c r="C300" s="293" t="s">
        <v>891</v>
      </c>
      <c r="D300" s="292" t="s">
        <v>892</v>
      </c>
      <c r="E300" s="293" t="s">
        <v>1010</v>
      </c>
    </row>
    <row r="301" spans="1:5">
      <c r="A301" s="336" t="s">
        <v>887</v>
      </c>
      <c r="B301" s="739">
        <v>3745847092.8800001</v>
      </c>
      <c r="C301" s="301">
        <v>0.41035576886348774</v>
      </c>
      <c r="D301" s="344">
        <v>37310</v>
      </c>
      <c r="E301" s="301">
        <v>0.42959124928036846</v>
      </c>
    </row>
    <row r="302" spans="1:5">
      <c r="A302" s="336" t="s">
        <v>888</v>
      </c>
      <c r="B302" s="739">
        <v>5382444446.0799999</v>
      </c>
      <c r="C302" s="301">
        <v>0.58964423113651232</v>
      </c>
      <c r="D302" s="344">
        <v>49540</v>
      </c>
      <c r="E302" s="301">
        <v>0.5704087507196316</v>
      </c>
    </row>
    <row r="303" spans="1:5" ht="13.5" thickBot="1">
      <c r="A303" s="318"/>
      <c r="B303" s="373">
        <v>9128291538.9599991</v>
      </c>
      <c r="C303" s="297">
        <v>1</v>
      </c>
      <c r="D303" s="307">
        <v>86850</v>
      </c>
      <c r="E303" s="297">
        <v>1</v>
      </c>
    </row>
    <row r="304" spans="1:5" ht="13.5" thickTop="1">
      <c r="A304" s="318"/>
      <c r="B304" s="278"/>
      <c r="C304" s="302"/>
      <c r="D304" s="319"/>
      <c r="E304" s="302"/>
    </row>
    <row r="305" spans="1:36">
      <c r="A305" s="318"/>
      <c r="B305" s="278"/>
      <c r="C305" s="302"/>
      <c r="D305" s="319"/>
      <c r="E305" s="302"/>
    </row>
    <row r="306" spans="1:36">
      <c r="A306" s="318"/>
      <c r="B306" s="278"/>
      <c r="C306" s="302"/>
      <c r="D306" s="319"/>
      <c r="E306" s="302"/>
    </row>
    <row r="307" spans="1:36" ht="15.75">
      <c r="A307" s="456" t="s">
        <v>420</v>
      </c>
      <c r="B307" s="278"/>
      <c r="C307" s="302"/>
      <c r="D307" s="319"/>
      <c r="E307" s="302"/>
    </row>
    <row r="308" spans="1:36">
      <c r="A308" s="646" t="s">
        <v>420</v>
      </c>
      <c r="B308" s="292" t="s">
        <v>890</v>
      </c>
      <c r="C308" s="293" t="s">
        <v>891</v>
      </c>
      <c r="D308" s="292" t="s">
        <v>892</v>
      </c>
      <c r="E308" s="293" t="s">
        <v>1010</v>
      </c>
    </row>
    <row r="309" spans="1:36">
      <c r="A309" s="288" t="s">
        <v>467</v>
      </c>
      <c r="B309" s="107">
        <v>9128291538.9599991</v>
      </c>
      <c r="C309" s="301">
        <v>1</v>
      </c>
      <c r="D309" s="295">
        <v>86850</v>
      </c>
      <c r="E309" s="301">
        <v>1</v>
      </c>
    </row>
    <row r="310" spans="1:36" ht="13.5" thickBot="1">
      <c r="A310" s="318" t="s">
        <v>803</v>
      </c>
      <c r="B310" s="113">
        <v>9128291538.9599991</v>
      </c>
      <c r="C310" s="297">
        <v>1</v>
      </c>
      <c r="D310" s="298">
        <v>86850</v>
      </c>
      <c r="E310" s="297">
        <v>1</v>
      </c>
    </row>
    <row r="311" spans="1:36" ht="13.5" thickTop="1">
      <c r="A311" s="318"/>
      <c r="B311" s="278"/>
      <c r="C311" s="302"/>
      <c r="D311" s="319"/>
      <c r="E311" s="302"/>
      <c r="I311" s="306"/>
    </row>
    <row r="312" spans="1:36">
      <c r="C312" s="302"/>
      <c r="D312" s="278"/>
      <c r="E312" s="302"/>
      <c r="K312" s="35"/>
    </row>
    <row r="313" spans="1:36" ht="15.75">
      <c r="A313" s="455" t="s">
        <v>587</v>
      </c>
      <c r="K313" s="35"/>
    </row>
    <row r="314" spans="1:36" ht="13.5" thickBot="1">
      <c r="A314" s="335"/>
      <c r="B314" s="292" t="s">
        <v>146</v>
      </c>
      <c r="C314" s="293" t="s">
        <v>147</v>
      </c>
      <c r="D314" s="292" t="s">
        <v>548</v>
      </c>
      <c r="E314" s="834"/>
      <c r="G314" s="86"/>
      <c r="K314" s="35"/>
    </row>
    <row r="315" spans="1:36">
      <c r="A315" s="406" t="s">
        <v>959</v>
      </c>
      <c r="B315" s="374">
        <v>1210</v>
      </c>
      <c r="C315" s="375">
        <v>117488717.28</v>
      </c>
      <c r="D315" s="375">
        <v>9875872.7299999986</v>
      </c>
      <c r="E315" s="835"/>
      <c r="F315" s="353"/>
      <c r="G315" s="336"/>
      <c r="K315" s="35"/>
    </row>
    <row r="316" spans="1:36">
      <c r="A316" s="369" t="s">
        <v>960</v>
      </c>
      <c r="B316" s="376">
        <v>344</v>
      </c>
      <c r="C316" s="377">
        <v>37757063.63000001</v>
      </c>
      <c r="D316" s="377">
        <v>3696514.3</v>
      </c>
      <c r="E316" s="836"/>
      <c r="F316" s="353"/>
      <c r="G316" s="830"/>
      <c r="K316" s="35"/>
      <c r="L316" s="35"/>
      <c r="AI316" s="33"/>
      <c r="AJ316" s="33"/>
    </row>
    <row r="317" spans="1:36">
      <c r="A317" s="369" t="s">
        <v>961</v>
      </c>
      <c r="B317" s="376">
        <v>48</v>
      </c>
      <c r="C317" s="377">
        <v>4994531.74</v>
      </c>
      <c r="D317" s="377">
        <v>661237.18000000005</v>
      </c>
      <c r="E317" s="835"/>
      <c r="F317" s="353"/>
      <c r="G317" s="336"/>
      <c r="K317" s="35"/>
      <c r="L317" s="35"/>
      <c r="AI317" s="33"/>
      <c r="AJ317" s="33"/>
    </row>
    <row r="318" spans="1:36">
      <c r="A318" s="369" t="s">
        <v>962</v>
      </c>
      <c r="B318" s="376">
        <v>17</v>
      </c>
      <c r="C318" s="377">
        <v>1527939.83</v>
      </c>
      <c r="D318" s="377">
        <v>150268.89000000001</v>
      </c>
      <c r="E318" s="835"/>
      <c r="F318" s="353"/>
      <c r="G318" s="336"/>
      <c r="K318" s="35"/>
      <c r="L318" s="35"/>
      <c r="AI318" s="33"/>
      <c r="AJ318" s="33"/>
    </row>
    <row r="319" spans="1:36">
      <c r="A319" s="369" t="s">
        <v>556</v>
      </c>
      <c r="B319" s="376">
        <v>375</v>
      </c>
      <c r="C319" s="377">
        <v>40870047.649999939</v>
      </c>
      <c r="D319" s="377">
        <v>4179326.67</v>
      </c>
      <c r="E319" s="838"/>
      <c r="F319" s="353"/>
      <c r="G319" s="837"/>
      <c r="K319" s="35"/>
      <c r="L319" s="35"/>
      <c r="AI319" s="33"/>
      <c r="AJ319" s="33"/>
    </row>
    <row r="320" spans="1:36">
      <c r="A320" s="369" t="s">
        <v>963</v>
      </c>
      <c r="B320" s="376">
        <v>828</v>
      </c>
      <c r="C320" s="377">
        <v>76142194.440000013</v>
      </c>
      <c r="D320" s="377">
        <v>5668522.2200000053</v>
      </c>
      <c r="G320" s="336"/>
      <c r="K320" s="35"/>
      <c r="L320" s="35"/>
      <c r="AI320" s="33"/>
      <c r="AJ320" s="33"/>
    </row>
    <row r="321" spans="1:36">
      <c r="A321" s="369" t="s">
        <v>139</v>
      </c>
      <c r="B321" s="376">
        <v>278</v>
      </c>
      <c r="C321" s="377">
        <v>29429194.210000001</v>
      </c>
      <c r="D321" s="377">
        <v>1837423.05</v>
      </c>
      <c r="H321" s="830"/>
      <c r="K321" s="35"/>
      <c r="L321" s="35"/>
      <c r="AI321" s="33"/>
      <c r="AJ321" s="33"/>
    </row>
    <row r="322" spans="1:36">
      <c r="A322" s="369" t="s">
        <v>140</v>
      </c>
      <c r="B322" s="376">
        <v>25</v>
      </c>
      <c r="C322" s="377">
        <v>2699857.17</v>
      </c>
      <c r="D322" s="377">
        <v>246928.18</v>
      </c>
      <c r="E322" s="353"/>
      <c r="F322" s="353"/>
      <c r="G322" s="35"/>
      <c r="H322" s="830"/>
      <c r="K322" s="35"/>
      <c r="L322" s="35"/>
      <c r="AI322" s="33"/>
      <c r="AJ322" s="33"/>
    </row>
    <row r="323" spans="1:36">
      <c r="A323" s="369" t="s">
        <v>141</v>
      </c>
      <c r="B323" s="376">
        <v>9</v>
      </c>
      <c r="C323" s="377">
        <v>1171864.83</v>
      </c>
      <c r="D323" s="377">
        <v>111166.25</v>
      </c>
      <c r="E323" s="353"/>
      <c r="F323" s="353"/>
      <c r="G323" s="35"/>
      <c r="H323" s="839"/>
      <c r="L323" s="35"/>
      <c r="AI323" s="33"/>
      <c r="AJ323" s="33"/>
    </row>
    <row r="324" spans="1:36" ht="13.5" thickBot="1">
      <c r="A324" s="369" t="s">
        <v>549</v>
      </c>
      <c r="B324" s="378">
        <v>28</v>
      </c>
      <c r="C324" s="379">
        <v>3378177.73</v>
      </c>
      <c r="D324" s="379">
        <v>326031.26</v>
      </c>
      <c r="E324" s="353"/>
      <c r="F324" s="353"/>
      <c r="G324" s="35"/>
      <c r="H324" s="336"/>
      <c r="K324" s="35"/>
      <c r="L324" s="35"/>
      <c r="AI324" s="33"/>
      <c r="AJ324" s="33"/>
    </row>
    <row r="325" spans="1:36" ht="15.75">
      <c r="A325" s="557"/>
      <c r="B325" s="388"/>
      <c r="C325" s="388"/>
      <c r="D325" s="388"/>
      <c r="E325" s="388"/>
      <c r="F325" s="388"/>
      <c r="G325" s="89"/>
      <c r="H325" s="336"/>
      <c r="K325" s="35"/>
      <c r="L325" s="35"/>
      <c r="AI325" s="33"/>
      <c r="AJ325" s="33"/>
    </row>
    <row r="326" spans="1:36" ht="15.75">
      <c r="A326" s="457" t="s">
        <v>550</v>
      </c>
      <c r="B326" s="462"/>
      <c r="C326" s="463"/>
      <c r="D326" s="464"/>
      <c r="E326" s="464"/>
      <c r="F326" s="464"/>
      <c r="G326" s="66"/>
      <c r="H326" s="830"/>
      <c r="K326" s="35"/>
      <c r="L326" s="35"/>
      <c r="AI326" s="33"/>
      <c r="AJ326" s="33"/>
    </row>
    <row r="327" spans="1:36" ht="13.5" thickBot="1">
      <c r="A327" s="465"/>
      <c r="B327" s="333" t="s">
        <v>146</v>
      </c>
      <c r="C327" s="466" t="s">
        <v>551</v>
      </c>
      <c r="D327" s="333" t="s">
        <v>552</v>
      </c>
      <c r="E327" s="466" t="s">
        <v>553</v>
      </c>
      <c r="F327" s="35"/>
      <c r="G327" s="65"/>
      <c r="H327" s="79"/>
      <c r="K327" s="35"/>
    </row>
    <row r="328" spans="1:36">
      <c r="A328" s="467" t="s">
        <v>142</v>
      </c>
      <c r="B328" s="374">
        <v>224</v>
      </c>
      <c r="C328" s="375">
        <v>23494196.100000001</v>
      </c>
      <c r="D328" s="382">
        <v>27889196.009999983</v>
      </c>
      <c r="E328" s="382">
        <v>25682098.98</v>
      </c>
      <c r="F328" s="370"/>
      <c r="G328" s="65"/>
      <c r="H328" s="79"/>
      <c r="K328" s="35"/>
      <c r="L328" s="35"/>
      <c r="AI328" s="33"/>
      <c r="AJ328" s="33"/>
    </row>
    <row r="329" spans="1:36" ht="13.5" thickBot="1">
      <c r="A329" s="468" t="s">
        <v>143</v>
      </c>
      <c r="B329" s="378">
        <v>6</v>
      </c>
      <c r="C329" s="379">
        <v>493544.27</v>
      </c>
      <c r="D329" s="379">
        <v>588027.43000000005</v>
      </c>
      <c r="E329" s="379">
        <v>455800</v>
      </c>
      <c r="F329" s="370"/>
      <c r="G329" s="65"/>
      <c r="H329" s="600"/>
      <c r="K329" s="35"/>
      <c r="L329" s="35"/>
      <c r="AI329" s="33"/>
      <c r="AJ329" s="33"/>
    </row>
    <row r="330" spans="1:36">
      <c r="A330" s="469"/>
      <c r="B330" s="380"/>
      <c r="C330" s="381"/>
      <c r="D330" s="381"/>
      <c r="E330" s="381"/>
      <c r="F330" s="381"/>
      <c r="G330" s="65"/>
      <c r="H330" s="79"/>
      <c r="I330" s="86"/>
      <c r="L330" s="35"/>
      <c r="AI330" s="33"/>
      <c r="AJ330" s="33"/>
    </row>
    <row r="331" spans="1:36" ht="13.5" thickBot="1">
      <c r="A331" s="469"/>
      <c r="B331" s="380"/>
      <c r="C331" s="381"/>
      <c r="D331" s="381"/>
      <c r="E331" s="381"/>
      <c r="F331" s="381"/>
      <c r="G331" s="65"/>
      <c r="H331" s="79"/>
      <c r="L331" s="35"/>
      <c r="AI331" s="33"/>
      <c r="AJ331" s="33"/>
    </row>
    <row r="332" spans="1:36" ht="13.5" thickBot="1">
      <c r="A332" s="470" t="s">
        <v>144</v>
      </c>
      <c r="B332" s="383" t="s">
        <v>491</v>
      </c>
      <c r="C332" s="381"/>
      <c r="D332" s="370"/>
      <c r="E332" s="370"/>
      <c r="F332" s="370"/>
      <c r="G332" s="65"/>
      <c r="H332" s="79"/>
      <c r="L332" s="35"/>
      <c r="AI332" s="33"/>
      <c r="AJ332" s="33"/>
    </row>
    <row r="333" spans="1:36">
      <c r="A333" s="469"/>
      <c r="B333" s="380"/>
      <c r="C333" s="381"/>
      <c r="D333" s="370"/>
      <c r="E333" s="370"/>
      <c r="F333" s="370"/>
      <c r="G333" s="65"/>
      <c r="H333" s="600"/>
      <c r="L333" s="35"/>
      <c r="AI333" s="33"/>
      <c r="AJ333" s="33"/>
    </row>
    <row r="334" spans="1:36" ht="13.5" thickBot="1">
      <c r="A334" s="465"/>
      <c r="B334" s="333" t="s">
        <v>146</v>
      </c>
      <c r="C334" s="466" t="s">
        <v>552</v>
      </c>
      <c r="D334" s="333" t="s">
        <v>553</v>
      </c>
      <c r="E334" s="466" t="s">
        <v>554</v>
      </c>
      <c r="F334" s="466" t="s">
        <v>52</v>
      </c>
      <c r="G334" s="65"/>
    </row>
    <row r="335" spans="1:36">
      <c r="A335" s="826" t="s">
        <v>860</v>
      </c>
      <c r="B335" s="374">
        <v>224</v>
      </c>
      <c r="C335" s="384">
        <v>27889196.009999983</v>
      </c>
      <c r="D335" s="375">
        <v>25682098.98</v>
      </c>
      <c r="E335" s="385">
        <v>4910578.4400000004</v>
      </c>
      <c r="F335" s="382">
        <v>4210123.13</v>
      </c>
      <c r="G335" s="443"/>
    </row>
    <row r="336" spans="1:36">
      <c r="A336" s="827" t="s">
        <v>209</v>
      </c>
      <c r="B336" s="376">
        <v>169</v>
      </c>
      <c r="C336" s="377">
        <v>21760050.66</v>
      </c>
      <c r="D336" s="377">
        <v>18214996</v>
      </c>
      <c r="E336" s="558">
        <v>4910578.4400000004</v>
      </c>
      <c r="F336" s="840">
        <v>4210123.13</v>
      </c>
      <c r="G336" s="443"/>
    </row>
    <row r="337" spans="1:36">
      <c r="A337" s="827" t="s">
        <v>84</v>
      </c>
      <c r="B337" s="376">
        <v>6</v>
      </c>
      <c r="C337" s="559">
        <v>588027.43000000005</v>
      </c>
      <c r="D337" s="559">
        <v>455800</v>
      </c>
      <c r="E337" s="559">
        <v>118989.67</v>
      </c>
      <c r="F337" s="377">
        <v>118989.67</v>
      </c>
      <c r="G337" s="443"/>
    </row>
    <row r="338" spans="1:36" ht="13.5" thickBot="1">
      <c r="A338" s="828" t="s">
        <v>145</v>
      </c>
      <c r="B338" s="378">
        <v>6</v>
      </c>
      <c r="C338" s="386">
        <v>588027.43000000005</v>
      </c>
      <c r="D338" s="386">
        <v>455800</v>
      </c>
      <c r="E338" s="386">
        <v>118989.67</v>
      </c>
      <c r="F338" s="387">
        <v>118989.67</v>
      </c>
      <c r="G338" s="443"/>
    </row>
    <row r="339" spans="1:36">
      <c r="A339" s="469"/>
      <c r="B339" s="471"/>
      <c r="C339" s="381"/>
      <c r="D339" s="370"/>
      <c r="E339" s="370"/>
      <c r="F339" s="370"/>
      <c r="G339" s="65"/>
    </row>
    <row r="340" spans="1:36" ht="13.5" thickBot="1">
      <c r="A340" s="469"/>
      <c r="B340" s="817" t="s">
        <v>146</v>
      </c>
      <c r="C340" s="818" t="s">
        <v>212</v>
      </c>
      <c r="D340" s="370"/>
      <c r="E340" s="370"/>
      <c r="F340" s="370"/>
      <c r="G340" s="65"/>
    </row>
    <row r="341" spans="1:36" ht="13.5" thickBot="1">
      <c r="A341" s="829" t="s">
        <v>213</v>
      </c>
      <c r="B341" s="851">
        <v>17</v>
      </c>
      <c r="C341" s="852">
        <v>700455.31</v>
      </c>
      <c r="D341" s="370"/>
      <c r="E341" s="370"/>
      <c r="F341" s="370"/>
      <c r="G341" s="65"/>
    </row>
    <row r="342" spans="1:36">
      <c r="A342" s="469"/>
      <c r="B342" s="471"/>
      <c r="C342" s="381"/>
      <c r="D342" s="370"/>
      <c r="E342" s="370"/>
      <c r="F342" s="370"/>
      <c r="G342" s="65"/>
      <c r="H342" s="86"/>
      <c r="I342" s="86"/>
      <c r="J342" s="86"/>
      <c r="K342" s="86"/>
    </row>
    <row r="343" spans="1:36" s="86" customFormat="1">
      <c r="A343" s="501" t="s">
        <v>656</v>
      </c>
      <c r="B343" s="471"/>
      <c r="C343" s="381"/>
      <c r="D343" s="370"/>
      <c r="E343" s="370"/>
      <c r="F343" s="370"/>
      <c r="G343" s="65"/>
      <c r="H343" s="33"/>
      <c r="I343" s="33"/>
      <c r="J343" s="33"/>
      <c r="K343" s="33"/>
      <c r="L343" s="33"/>
      <c r="M343" s="124"/>
      <c r="N343" s="124"/>
      <c r="O343" s="124"/>
      <c r="P343" s="124"/>
      <c r="Q343" s="124"/>
      <c r="R343" s="124"/>
      <c r="S343" s="124"/>
      <c r="T343" s="124"/>
      <c r="U343" s="124"/>
      <c r="V343" s="124"/>
      <c r="W343" s="124"/>
      <c r="X343" s="124"/>
      <c r="Y343" s="124"/>
      <c r="Z343" s="124"/>
      <c r="AA343" s="124"/>
      <c r="AB343" s="124"/>
      <c r="AC343" s="124"/>
      <c r="AD343" s="124"/>
      <c r="AE343" s="124"/>
      <c r="AF343" s="124"/>
      <c r="AG343" s="124"/>
      <c r="AH343" s="124"/>
      <c r="AI343" s="124"/>
      <c r="AJ343" s="124"/>
    </row>
    <row r="344" spans="1:36">
      <c r="A344" s="469" t="s">
        <v>148</v>
      </c>
      <c r="B344" s="471"/>
      <c r="C344" s="381"/>
      <c r="D344" s="370"/>
      <c r="E344" s="370"/>
      <c r="F344" s="370"/>
      <c r="G344" s="65"/>
    </row>
    <row r="345" spans="1:36">
      <c r="A345" s="469" t="s">
        <v>75</v>
      </c>
      <c r="B345" s="471"/>
      <c r="C345" s="381"/>
      <c r="D345" s="370"/>
      <c r="E345" s="370"/>
      <c r="F345" s="370"/>
      <c r="G345" s="65"/>
    </row>
    <row r="346" spans="1:36">
      <c r="A346" s="469" t="s">
        <v>150</v>
      </c>
      <c r="B346" s="471"/>
      <c r="C346" s="381"/>
      <c r="D346" s="370"/>
      <c r="E346" s="370"/>
      <c r="F346" s="370"/>
      <c r="G346" s="472"/>
      <c r="L346" s="86"/>
    </row>
    <row r="347" spans="1:36">
      <c r="A347" s="473"/>
      <c r="B347" s="89"/>
      <c r="C347" s="89"/>
      <c r="D347" s="474"/>
      <c r="E347" s="474"/>
      <c r="F347" s="474"/>
      <c r="G347" s="67"/>
    </row>
    <row r="348" spans="1:36">
      <c r="A348" s="33"/>
      <c r="B348" s="33"/>
      <c r="C348" s="33"/>
      <c r="D348" s="353"/>
      <c r="E348" s="353"/>
      <c r="F348" s="353"/>
    </row>
    <row r="350" spans="1:36">
      <c r="A350" s="337"/>
    </row>
    <row r="351" spans="1:36" ht="15.75">
      <c r="A351" s="457" t="s">
        <v>540</v>
      </c>
      <c r="B351" s="422"/>
      <c r="C351" s="458" t="s">
        <v>541</v>
      </c>
      <c r="D351" s="460" t="s">
        <v>542</v>
      </c>
    </row>
    <row r="352" spans="1:36">
      <c r="A352" s="423" t="e">
        <f>"Mortgage Accounts repurchased as of "&amp;TEXT(EOMONTH(B5,-1)+1, "dd mmmm yyyy")</f>
        <v>#REF!</v>
      </c>
      <c r="B352" s="278"/>
      <c r="C352" s="459">
        <f>'[3]Monthly Report'!$C$443</f>
        <v>845</v>
      </c>
      <c r="D352" s="461">
        <f>'[3]Monthly Report'!$D$443</f>
        <v>31574615.710000001</v>
      </c>
    </row>
    <row r="353" spans="1:11">
      <c r="A353" s="1499" t="s">
        <v>411</v>
      </c>
      <c r="B353" s="1500"/>
      <c r="C353" s="459">
        <f>'[3]Monthly Report'!$C$444</f>
        <v>215412</v>
      </c>
      <c r="D353" s="461">
        <f>'[3]Monthly Report'!$D$444</f>
        <v>18871565783.149998</v>
      </c>
    </row>
    <row r="354" spans="1:11">
      <c r="A354" s="423"/>
      <c r="B354" s="278"/>
      <c r="C354" s="459"/>
      <c r="D354" s="461"/>
    </row>
    <row r="355" spans="1:11" ht="15.75">
      <c r="A355" s="457" t="s">
        <v>708</v>
      </c>
      <c r="B355" s="422"/>
      <c r="C355" s="569"/>
      <c r="D355" s="570"/>
    </row>
    <row r="356" spans="1:11">
      <c r="A356" s="423" t="e">
        <f>"Mortgage Accounts added as of  "&amp;TEXT(EOMONTH(B5,-1)+1, "dd mmmm yyyy")</f>
        <v>#REF!</v>
      </c>
      <c r="B356" s="278"/>
      <c r="C356" s="571">
        <f>'[4]Monthly Report'!$C$451</f>
        <v>0</v>
      </c>
      <c r="D356" s="572">
        <f>'[4]Monthly Report'!$D$451</f>
        <v>0</v>
      </c>
    </row>
    <row r="357" spans="1:11">
      <c r="A357" s="1499" t="s">
        <v>53</v>
      </c>
      <c r="B357" s="1500"/>
      <c r="C357" s="459">
        <f>'[3]Monthly Report'!$C$448</f>
        <v>129097</v>
      </c>
      <c r="D357" s="461">
        <f>'[3]Monthly Report'!$D$448</f>
        <v>29112475617.349998</v>
      </c>
    </row>
    <row r="358" spans="1:11">
      <c r="A358" s="425"/>
      <c r="B358" s="426"/>
      <c r="C358" s="573"/>
      <c r="D358" s="574"/>
    </row>
    <row r="359" spans="1:11">
      <c r="G359" s="35"/>
      <c r="H359" s="35"/>
      <c r="I359" s="35"/>
      <c r="J359" s="35"/>
      <c r="K359" s="35"/>
    </row>
    <row r="360" spans="1:11">
      <c r="A360" s="70"/>
      <c r="G360" s="702"/>
      <c r="H360" s="477"/>
      <c r="I360" s="703"/>
      <c r="J360" s="702"/>
      <c r="K360" s="35"/>
    </row>
    <row r="361" spans="1:11">
      <c r="A361" s="114"/>
      <c r="C361" s="313"/>
      <c r="D361" s="278"/>
      <c r="E361" s="313"/>
      <c r="G361" s="89"/>
      <c r="H361" s="427"/>
      <c r="I361" s="704"/>
      <c r="J361" s="89"/>
      <c r="K361" s="89"/>
    </row>
    <row r="362" spans="1:11" ht="15.75">
      <c r="A362" s="457" t="s">
        <v>54</v>
      </c>
      <c r="B362" s="422"/>
      <c r="C362" s="475"/>
      <c r="D362" s="422"/>
      <c r="E362" s="475"/>
      <c r="F362" s="88"/>
      <c r="G362" s="88"/>
      <c r="H362" s="88"/>
      <c r="I362" s="88"/>
      <c r="J362" s="88"/>
      <c r="K362" s="66"/>
    </row>
    <row r="363" spans="1:11">
      <c r="A363" s="476"/>
      <c r="B363" s="426"/>
      <c r="C363" s="313"/>
      <c r="D363" s="278"/>
      <c r="E363" s="313"/>
      <c r="F363" s="313"/>
      <c r="G363" s="35"/>
      <c r="H363" s="35"/>
      <c r="I363" s="35"/>
      <c r="J363" s="35"/>
      <c r="K363" s="65"/>
    </row>
    <row r="364" spans="1:11">
      <c r="A364" s="499" t="s">
        <v>55</v>
      </c>
      <c r="B364" s="498"/>
      <c r="C364" s="492" t="s">
        <v>492</v>
      </c>
      <c r="D364" s="481"/>
      <c r="E364" s="491"/>
      <c r="F364" s="492" t="s">
        <v>493</v>
      </c>
      <c r="G364" s="493"/>
      <c r="H364" s="491"/>
      <c r="I364" s="492" t="s">
        <v>494</v>
      </c>
      <c r="J364" s="493"/>
      <c r="K364" s="65"/>
    </row>
    <row r="365" spans="1:11">
      <c r="A365" s="500"/>
      <c r="B365" s="482"/>
      <c r="C365" s="482"/>
      <c r="D365" s="483"/>
      <c r="E365" s="490"/>
      <c r="F365" s="302"/>
      <c r="G365" s="65"/>
      <c r="H365" s="494"/>
      <c r="I365" s="495"/>
      <c r="J365" s="66"/>
      <c r="K365" s="65"/>
    </row>
    <row r="366" spans="1:11">
      <c r="A366" s="500"/>
      <c r="B366" s="478" t="s">
        <v>542</v>
      </c>
      <c r="C366" s="478" t="s">
        <v>56</v>
      </c>
      <c r="D366" s="485" t="s">
        <v>57</v>
      </c>
      <c r="E366" s="484" t="s">
        <v>542</v>
      </c>
      <c r="F366" s="478" t="s">
        <v>56</v>
      </c>
      <c r="G366" s="485" t="s">
        <v>57</v>
      </c>
      <c r="H366" s="484" t="s">
        <v>542</v>
      </c>
      <c r="I366" s="478" t="s">
        <v>56</v>
      </c>
      <c r="J366" s="485" t="s">
        <v>57</v>
      </c>
      <c r="K366" s="65"/>
    </row>
    <row r="367" spans="1:11">
      <c r="A367" s="500" t="s">
        <v>58</v>
      </c>
      <c r="B367" s="328">
        <f>'[3]Monthly Report'!$C$455</f>
        <v>137278785.97999999</v>
      </c>
      <c r="C367" s="299">
        <f>'[3]Monthly Report'!$D$455</f>
        <v>1.4858537987567401E-2</v>
      </c>
      <c r="D367" s="487">
        <f>'[3]Monthly Report'!$E$455</f>
        <v>0.16160007310489011</v>
      </c>
      <c r="E367" s="486">
        <f>'[5]Monthly Report'!$C$458</f>
        <v>132184591.97999999</v>
      </c>
      <c r="F367" s="313">
        <f>'[5]Monthly Report'!$D$458</f>
        <v>1.4136808985311207E-2</v>
      </c>
      <c r="G367" s="487">
        <f>'[5]Monthly Report'!$E$458</f>
        <v>0.15433947019365335</v>
      </c>
      <c r="H367" s="486">
        <f>'[6]Monthly Report'!$C$458</f>
        <v>121744657.17</v>
      </c>
      <c r="I367" s="313">
        <f>'[6]Monthly Report'!$D$458</f>
        <v>1.2869404284788326E-2</v>
      </c>
      <c r="J367" s="487">
        <f>'[6]Monthly Report'!$E$458</f>
        <v>0.14144997838607121</v>
      </c>
      <c r="K367" s="65"/>
    </row>
    <row r="368" spans="1:11">
      <c r="A368" s="500" t="s">
        <v>59</v>
      </c>
      <c r="B368" s="479">
        <f>'[3]Monthly Report'!$C$456</f>
        <v>98226538.679999992</v>
      </c>
      <c r="C368" s="480">
        <f>'[3]Monthly Report'!$D$456</f>
        <v>1.0631670042424997E-2</v>
      </c>
      <c r="D368" s="489">
        <f>'[3]Monthly Report'!$E$456</f>
        <v>0.11825248481316952</v>
      </c>
      <c r="E368" s="488">
        <f>'[5]Monthly Report'!$C$459</f>
        <v>92197633.559999987</v>
      </c>
      <c r="F368" s="427">
        <f>'[5]Monthly Report'!$D$459</f>
        <v>9.8603045560154562E-3</v>
      </c>
      <c r="G368" s="489">
        <f>'[5]Monthly Report'!$E$459</f>
        <v>0.11012413314187586</v>
      </c>
      <c r="H368" s="488">
        <f>'[6]Monthly Report'!$C$459</f>
        <v>89073143.620000005</v>
      </c>
      <c r="I368" s="427">
        <f>'[6]Monthly Report'!$D$459</f>
        <v>9.4157585458729005E-3</v>
      </c>
      <c r="J368" s="489">
        <f>'[6]Monthly Report'!$E$459</f>
        <v>0.1054085921817367</v>
      </c>
      <c r="K368" s="65"/>
    </row>
    <row r="369" spans="1:11">
      <c r="A369" s="423"/>
      <c r="B369" s="422"/>
      <c r="C369" s="313"/>
      <c r="D369" s="278"/>
      <c r="E369" s="313"/>
      <c r="F369" s="313"/>
      <c r="G369" s="35"/>
      <c r="H369" s="496"/>
      <c r="I369" s="496"/>
      <c r="J369" s="496"/>
      <c r="K369" s="497"/>
    </row>
    <row r="370" spans="1:11">
      <c r="A370" s="501" t="s">
        <v>656</v>
      </c>
      <c r="B370" s="278"/>
      <c r="C370" s="328"/>
      <c r="D370" s="299"/>
      <c r="E370" s="299"/>
      <c r="F370" s="35"/>
      <c r="G370" s="35"/>
      <c r="H370" s="35"/>
      <c r="I370" s="35"/>
      <c r="J370" s="35"/>
      <c r="K370" s="65"/>
    </row>
    <row r="371" spans="1:11" ht="41.25" customHeight="1">
      <c r="A371" s="1501" t="s">
        <v>362</v>
      </c>
      <c r="B371" s="1502"/>
      <c r="C371" s="1502"/>
      <c r="D371" s="1502"/>
      <c r="E371" s="1502"/>
      <c r="F371" s="1502"/>
      <c r="G371" s="1502"/>
      <c r="H371" s="1502"/>
      <c r="I371" s="1502"/>
      <c r="J371" s="1502"/>
      <c r="K371" s="1503"/>
    </row>
    <row r="372" spans="1:11">
      <c r="A372" s="273"/>
    </row>
    <row r="373" spans="1:11">
      <c r="A373" s="273"/>
    </row>
    <row r="374" spans="1:11" ht="13.5" customHeight="1">
      <c r="A374" s="273"/>
      <c r="D374" s="107" t="s">
        <v>622</v>
      </c>
    </row>
    <row r="375" spans="1:11" ht="19.5" customHeight="1">
      <c r="A375" s="525" t="s">
        <v>363</v>
      </c>
    </row>
    <row r="376" spans="1:11" ht="9.75" customHeight="1">
      <c r="A376" s="338"/>
      <c r="K376" s="276"/>
    </row>
    <row r="377" spans="1:11" ht="9.75" customHeight="1">
      <c r="A377" s="338"/>
      <c r="K377" s="276"/>
    </row>
    <row r="378" spans="1:11" ht="22.5" customHeight="1">
      <c r="A378" s="503" t="s">
        <v>60</v>
      </c>
      <c r="B378" s="504"/>
      <c r="C378" s="450"/>
      <c r="D378" s="405" t="s">
        <v>61</v>
      </c>
      <c r="E378" s="505"/>
    </row>
    <row r="379" spans="1:11" ht="9.75" customHeight="1">
      <c r="A379" s="285"/>
      <c r="B379" s="69"/>
      <c r="E379" s="275"/>
      <c r="K379" s="276"/>
    </row>
    <row r="380" spans="1:11">
      <c r="A380" s="285"/>
      <c r="B380" s="69"/>
      <c r="E380" s="275"/>
    </row>
    <row r="381" spans="1:11">
      <c r="A381" s="1504" t="s">
        <v>737</v>
      </c>
      <c r="B381" s="1505"/>
      <c r="C381" s="430"/>
      <c r="D381" s="429" t="s">
        <v>62</v>
      </c>
      <c r="E381" s="508"/>
    </row>
    <row r="382" spans="1:11">
      <c r="A382" s="1497" t="s">
        <v>117</v>
      </c>
      <c r="B382" s="1498"/>
      <c r="C382" s="432"/>
      <c r="D382" s="476"/>
      <c r="E382" s="509"/>
    </row>
    <row r="383" spans="1:11">
      <c r="A383" s="431" t="s">
        <v>115</v>
      </c>
      <c r="B383" s="114"/>
      <c r="C383" s="432"/>
      <c r="D383" s="510"/>
      <c r="E383" s="509"/>
    </row>
    <row r="384" spans="1:11">
      <c r="A384" s="431" t="s">
        <v>114</v>
      </c>
      <c r="B384" s="114"/>
      <c r="C384" s="432"/>
      <c r="D384" s="510"/>
      <c r="E384" s="509"/>
    </row>
    <row r="385" spans="1:7">
      <c r="A385" s="506" t="s">
        <v>116</v>
      </c>
      <c r="B385" s="507"/>
      <c r="C385" s="433"/>
      <c r="D385" s="511"/>
      <c r="E385" s="512"/>
    </row>
    <row r="386" spans="1:7" ht="13.5" customHeight="1">
      <c r="A386" s="285"/>
      <c r="B386" s="69"/>
      <c r="E386" s="275"/>
    </row>
    <row r="387" spans="1:7" ht="13.5" customHeight="1">
      <c r="A387" s="33"/>
    </row>
    <row r="388" spans="1:7" ht="42.75" customHeight="1">
      <c r="A388" s="1480" t="s">
        <v>136</v>
      </c>
      <c r="B388" s="1481"/>
      <c r="C388" s="1482"/>
      <c r="D388" s="405" t="s">
        <v>137</v>
      </c>
      <c r="E388" s="513"/>
    </row>
    <row r="389" spans="1:7" ht="13.5" customHeight="1">
      <c r="A389" s="33"/>
      <c r="B389" s="279"/>
    </row>
    <row r="390" spans="1:7" ht="13.5" customHeight="1">
      <c r="A390" s="273"/>
      <c r="B390" s="279"/>
    </row>
    <row r="391" spans="1:7" ht="13.5" customHeight="1">
      <c r="A391" s="285"/>
    </row>
    <row r="392" spans="1:7" ht="25.5" customHeight="1">
      <c r="A392" s="514" t="s">
        <v>2</v>
      </c>
      <c r="B392" s="422"/>
      <c r="C392" s="430"/>
      <c r="D392" s="1508" t="str">
        <f>+IF(B295&lt;2%,"No arrears or step-up trigger event has occurred","N/A")</f>
        <v>No arrears or step-up trigger event has occurred</v>
      </c>
      <c r="E392" s="1509"/>
    </row>
    <row r="393" spans="1:7" ht="45" customHeight="1">
      <c r="A393" s="1483" t="s">
        <v>153</v>
      </c>
      <c r="B393" s="1484"/>
      <c r="C393" s="1485"/>
      <c r="D393" s="511"/>
      <c r="E393" s="67"/>
      <c r="G393" s="111"/>
    </row>
    <row r="394" spans="1:7" ht="13.5" customHeight="1">
      <c r="A394" s="78"/>
      <c r="B394" s="78"/>
      <c r="C394" s="78"/>
      <c r="E394" s="33"/>
      <c r="G394" s="111"/>
    </row>
    <row r="395" spans="1:7" ht="13.5" customHeight="1">
      <c r="A395" s="33"/>
      <c r="B395" s="33"/>
      <c r="E395" s="33"/>
    </row>
    <row r="396" spans="1:7" ht="13.5" customHeight="1">
      <c r="A396" s="273"/>
      <c r="B396" s="69"/>
      <c r="E396" s="33"/>
    </row>
    <row r="397" spans="1:7" ht="18.75" customHeight="1">
      <c r="A397" s="515" t="s">
        <v>397</v>
      </c>
      <c r="B397" s="516"/>
      <c r="C397" s="450"/>
      <c r="D397" s="516"/>
      <c r="E397" s="517"/>
      <c r="G397" s="705"/>
    </row>
    <row r="398" spans="1:7" ht="22.5" customHeight="1">
      <c r="A398" s="284"/>
    </row>
    <row r="399" spans="1:7" ht="19.5" customHeight="1">
      <c r="A399" s="515" t="s">
        <v>154</v>
      </c>
      <c r="B399" s="445"/>
      <c r="C399" s="502"/>
      <c r="D399" s="445"/>
      <c r="E399" s="513"/>
    </row>
    <row r="400" spans="1:7" ht="21.75" customHeight="1">
      <c r="A400" s="284"/>
      <c r="G400" s="89"/>
    </row>
    <row r="401" spans="1:7" ht="75" customHeight="1">
      <c r="A401" s="1515" t="s">
        <v>555</v>
      </c>
      <c r="B401" s="1516"/>
      <c r="C401" s="1516"/>
      <c r="D401" s="1516"/>
      <c r="E401" s="1517"/>
      <c r="F401" s="1518" t="e">
        <f>+IF(SUM(#REF!)+SUM(#REF!)+SUM(#REF!)&lt;=0,"There has been no amortisation of subordinated loan note tranches, therefore no repayment tests are applicable to this interest period",+IF(AND(B295&lt;4%,#REF!&lt;2%),"No breach","No payment of subordinated loan not tranches permitted"))</f>
        <v>#REF!</v>
      </c>
      <c r="G401" s="1519"/>
    </row>
    <row r="402" spans="1:7">
      <c r="A402" s="284"/>
    </row>
    <row r="403" spans="1:7">
      <c r="A403" s="284"/>
    </row>
    <row r="404" spans="1:7">
      <c r="A404" s="514" t="s">
        <v>3</v>
      </c>
      <c r="B404" s="422"/>
      <c r="C404" s="438" t="s">
        <v>968</v>
      </c>
      <c r="D404" s="518" t="s">
        <v>433</v>
      </c>
      <c r="E404" s="519" t="s">
        <v>435</v>
      </c>
      <c r="F404" s="514" t="s">
        <v>423</v>
      </c>
      <c r="G404" s="66"/>
    </row>
    <row r="405" spans="1:7">
      <c r="A405" s="431" t="s">
        <v>4</v>
      </c>
      <c r="B405" s="278"/>
      <c r="C405" s="424" t="s">
        <v>790</v>
      </c>
      <c r="D405" s="439" t="s">
        <v>791</v>
      </c>
      <c r="E405" s="443" t="s">
        <v>1007</v>
      </c>
      <c r="F405" s="523"/>
      <c r="G405" s="65"/>
    </row>
    <row r="406" spans="1:7">
      <c r="A406" s="431" t="s">
        <v>6</v>
      </c>
      <c r="B406" s="278"/>
      <c r="C406" s="439" t="s">
        <v>442</v>
      </c>
      <c r="D406" s="424" t="s">
        <v>7</v>
      </c>
      <c r="E406" s="443" t="s">
        <v>442</v>
      </c>
      <c r="F406" s="523"/>
      <c r="G406" s="65"/>
    </row>
    <row r="407" spans="1:7">
      <c r="A407" s="506" t="s">
        <v>8</v>
      </c>
      <c r="B407" s="426"/>
      <c r="C407" s="520" t="s">
        <v>421</v>
      </c>
      <c r="D407" s="521" t="s">
        <v>450</v>
      </c>
      <c r="E407" s="522" t="s">
        <v>441</v>
      </c>
      <c r="F407" s="524"/>
      <c r="G407" s="67"/>
    </row>
    <row r="408" spans="1:7">
      <c r="A408" s="285"/>
      <c r="C408" s="283"/>
      <c r="D408" s="110"/>
      <c r="E408" s="111"/>
      <c r="F408" s="111"/>
    </row>
    <row r="409" spans="1:7">
      <c r="A409" s="33"/>
      <c r="E409" s="33"/>
    </row>
    <row r="410" spans="1:7" ht="12.75" customHeight="1">
      <c r="A410" s="514" t="s">
        <v>424</v>
      </c>
      <c r="B410" s="422"/>
      <c r="C410" s="475"/>
      <c r="D410" s="422"/>
      <c r="E410" s="430"/>
      <c r="F410" s="1520" t="s">
        <v>216</v>
      </c>
      <c r="G410" s="1521"/>
    </row>
    <row r="411" spans="1:7" ht="12.75" customHeight="1">
      <c r="A411" s="431" t="s">
        <v>1047</v>
      </c>
      <c r="B411" s="313" t="s">
        <v>30</v>
      </c>
      <c r="C411" s="424" t="s">
        <v>790</v>
      </c>
      <c r="D411" s="439" t="s">
        <v>791</v>
      </c>
      <c r="E411" s="443" t="s">
        <v>5</v>
      </c>
      <c r="F411" s="1522"/>
      <c r="G411" s="1523"/>
    </row>
    <row r="412" spans="1:7">
      <c r="A412" s="423"/>
      <c r="B412" s="313" t="s">
        <v>31</v>
      </c>
      <c r="C412" s="424" t="s">
        <v>421</v>
      </c>
      <c r="D412" s="439" t="s">
        <v>11</v>
      </c>
      <c r="E412" s="443" t="s">
        <v>32</v>
      </c>
      <c r="F412" s="1522"/>
      <c r="G412" s="1523"/>
    </row>
    <row r="413" spans="1:7">
      <c r="A413" s="431" t="s">
        <v>33</v>
      </c>
      <c r="B413" s="313" t="s">
        <v>30</v>
      </c>
      <c r="C413" s="424" t="s">
        <v>421</v>
      </c>
      <c r="D413" s="439" t="s">
        <v>34</v>
      </c>
      <c r="E413" s="443" t="s">
        <v>35</v>
      </c>
      <c r="F413" s="1522"/>
      <c r="G413" s="1523"/>
    </row>
    <row r="414" spans="1:7">
      <c r="A414" s="431"/>
      <c r="B414" s="313" t="s">
        <v>31</v>
      </c>
      <c r="C414" s="424" t="s">
        <v>442</v>
      </c>
      <c r="D414" s="439" t="s">
        <v>450</v>
      </c>
      <c r="E414" s="443" t="s">
        <v>36</v>
      </c>
      <c r="F414" s="1522"/>
      <c r="G414" s="1523"/>
    </row>
    <row r="415" spans="1:7">
      <c r="A415" s="431" t="s">
        <v>37</v>
      </c>
      <c r="B415" s="313" t="s">
        <v>30</v>
      </c>
      <c r="C415" s="424" t="s">
        <v>421</v>
      </c>
      <c r="D415" s="439" t="s">
        <v>421</v>
      </c>
      <c r="E415" s="443" t="s">
        <v>215</v>
      </c>
      <c r="F415" s="1522"/>
      <c r="G415" s="1523"/>
    </row>
    <row r="416" spans="1:7">
      <c r="A416" s="506"/>
      <c r="B416" s="427" t="s">
        <v>31</v>
      </c>
      <c r="C416" s="521" t="s">
        <v>421</v>
      </c>
      <c r="D416" s="520" t="s">
        <v>421</v>
      </c>
      <c r="E416" s="522" t="s">
        <v>442</v>
      </c>
      <c r="F416" s="1524"/>
      <c r="G416" s="1525"/>
    </row>
    <row r="417" spans="1:7">
      <c r="A417" s="441"/>
      <c r="B417" s="313"/>
      <c r="C417" s="424"/>
      <c r="D417" s="439"/>
      <c r="E417" s="311"/>
      <c r="F417" s="529"/>
    </row>
    <row r="418" spans="1:7">
      <c r="A418" s="441"/>
      <c r="B418" s="313"/>
      <c r="C418" s="424"/>
      <c r="D418" s="439"/>
      <c r="E418" s="311"/>
      <c r="F418" s="529"/>
    </row>
    <row r="419" spans="1:7">
      <c r="A419" s="598"/>
    </row>
    <row r="420" spans="1:7" ht="18.75">
      <c r="A420" s="599" t="e">
        <f>"Mortgage Assets (as of "&amp;TEXT(EOMONTH(B5,-1)+1,"dd mmmm yyyy )"&amp;"")</f>
        <v>#REF!</v>
      </c>
      <c r="B420" s="422"/>
      <c r="C420" s="475"/>
      <c r="D420" s="422"/>
      <c r="E420" s="475"/>
      <c r="F420" s="88"/>
      <c r="G420" s="66"/>
    </row>
    <row r="421" spans="1:7">
      <c r="A421" s="423" t="s">
        <v>217</v>
      </c>
      <c r="B421" s="278"/>
      <c r="C421" s="889">
        <f>[2]SharecCalc!$B$76</f>
        <v>9122772321.1499996</v>
      </c>
      <c r="D421" s="278"/>
      <c r="E421" s="313"/>
      <c r="F421" s="35"/>
      <c r="G421" s="65"/>
    </row>
    <row r="422" spans="1:7" ht="14.25" customHeight="1">
      <c r="A422" s="423" t="s">
        <v>218</v>
      </c>
      <c r="B422" s="278"/>
      <c r="C422" s="890">
        <f>[3]Inputs!$B$125</f>
        <v>358748750.89999998</v>
      </c>
      <c r="D422" s="278"/>
      <c r="E422" s="313"/>
      <c r="F422" s="35"/>
      <c r="G422" s="65"/>
    </row>
    <row r="423" spans="1:7" ht="14.25" customHeight="1">
      <c r="A423" s="423" t="s">
        <v>219</v>
      </c>
      <c r="B423" s="278"/>
      <c r="C423" s="891">
        <f>[2]SharecCalc!$B$25</f>
        <v>4617826371.8599997</v>
      </c>
      <c r="D423" s="278"/>
      <c r="E423" s="313"/>
      <c r="F423" s="35"/>
      <c r="G423" s="65"/>
    </row>
    <row r="424" spans="1:7" ht="14.25" customHeight="1">
      <c r="A424" s="423" t="s">
        <v>220</v>
      </c>
      <c r="B424" s="278"/>
      <c r="C424" s="892">
        <f>[3]SharecCalc!$B$38</f>
        <v>100</v>
      </c>
      <c r="D424" s="278"/>
      <c r="E424" s="313"/>
      <c r="F424" s="35"/>
      <c r="G424" s="65"/>
    </row>
    <row r="425" spans="1:7" ht="14.25" customHeight="1">
      <c r="A425" s="423" t="s">
        <v>221</v>
      </c>
      <c r="B425" s="278"/>
      <c r="C425" s="892">
        <f>SUM(C423:C424)</f>
        <v>4617826471.8599997</v>
      </c>
      <c r="D425" s="278"/>
      <c r="E425" s="313"/>
      <c r="F425" s="35"/>
      <c r="G425" s="65"/>
    </row>
    <row r="426" spans="1:7" ht="14.25" customHeight="1">
      <c r="A426" s="423" t="s">
        <v>468</v>
      </c>
      <c r="B426" s="278"/>
      <c r="C426" s="893">
        <f>[2]SharecCalc!$B$77</f>
        <v>0.50618669999999999</v>
      </c>
      <c r="D426" s="278"/>
      <c r="E426" s="313"/>
      <c r="F426" s="35"/>
      <c r="G426" s="65"/>
    </row>
    <row r="427" spans="1:7" ht="14.25" customHeight="1">
      <c r="A427" s="423" t="s">
        <v>42</v>
      </c>
      <c r="B427" s="278"/>
      <c r="C427" s="893">
        <f>[2]SharecCalc!$B$81</f>
        <v>0</v>
      </c>
      <c r="D427" s="278"/>
      <c r="E427" s="313"/>
      <c r="F427" s="35"/>
      <c r="G427" s="65"/>
    </row>
    <row r="428" spans="1:7" ht="14.25" customHeight="1">
      <c r="A428" s="423" t="s">
        <v>43</v>
      </c>
      <c r="B428" s="278"/>
      <c r="C428" s="894">
        <f>[2]SharecCalc!$B$46</f>
        <v>4504945849.29</v>
      </c>
      <c r="D428" s="278"/>
      <c r="E428" s="313"/>
      <c r="F428" s="35"/>
      <c r="G428" s="842"/>
    </row>
    <row r="429" spans="1:7" ht="14.25" customHeight="1">
      <c r="A429" s="423" t="s">
        <v>44</v>
      </c>
      <c r="B429" s="278"/>
      <c r="C429" s="893">
        <f>[2]SharecCalc!$B$85</f>
        <v>0.49381330000000001</v>
      </c>
      <c r="D429" s="278"/>
      <c r="E429" s="313"/>
      <c r="F429" s="35"/>
      <c r="G429" s="843"/>
    </row>
    <row r="430" spans="1:7" ht="14.25" customHeight="1">
      <c r="A430" s="423" t="s">
        <v>45</v>
      </c>
      <c r="B430" s="278"/>
      <c r="C430" s="894">
        <f>[3]SharecCalc!$B$190</f>
        <v>1030546026.7406</v>
      </c>
      <c r="D430" s="527"/>
      <c r="E430" s="313"/>
      <c r="F430" s="35"/>
      <c r="G430" s="65"/>
    </row>
    <row r="431" spans="1:7" ht="14.25" customHeight="1">
      <c r="A431" s="423" t="s">
        <v>46</v>
      </c>
      <c r="B431" s="278"/>
      <c r="C431" s="895">
        <f>(C430/SUM(C423+C424+C428))</f>
        <v>0.11296412871681656</v>
      </c>
      <c r="D431" s="278"/>
      <c r="E431" s="313"/>
      <c r="F431" s="35"/>
      <c r="G431" s="65"/>
    </row>
    <row r="432" spans="1:7" ht="14.25" customHeight="1">
      <c r="A432" s="423" t="s">
        <v>41</v>
      </c>
      <c r="B432" s="278"/>
      <c r="C432" s="889" t="e">
        <f>+#REF!-SUM(#REF!)</f>
        <v>#REF!</v>
      </c>
      <c r="D432" s="278"/>
      <c r="E432" s="313"/>
      <c r="F432" s="35"/>
      <c r="G432" s="65"/>
    </row>
    <row r="433" spans="1:7" ht="14.25" customHeight="1">
      <c r="A433" s="601" t="s">
        <v>543</v>
      </c>
      <c r="B433" s="278"/>
      <c r="C433" s="896" t="e">
        <f>B730/(#REF!/365)</f>
        <v>#REF!</v>
      </c>
      <c r="D433" s="278"/>
      <c r="E433" s="313"/>
      <c r="F433" s="35"/>
      <c r="G433" s="65"/>
    </row>
    <row r="434" spans="1:7" ht="14.25" customHeight="1">
      <c r="A434" s="431"/>
      <c r="B434" s="278"/>
      <c r="C434" s="313"/>
      <c r="D434" s="278"/>
      <c r="E434" s="313"/>
      <c r="F434" s="35"/>
      <c r="G434" s="842"/>
    </row>
    <row r="435" spans="1:7">
      <c r="A435" s="431"/>
      <c r="B435" s="278"/>
      <c r="C435" s="313"/>
      <c r="D435" s="278"/>
      <c r="E435" s="313"/>
      <c r="F435" s="35"/>
      <c r="G435" s="842"/>
    </row>
    <row r="436" spans="1:7" ht="12.75" customHeight="1">
      <c r="A436" s="1510" t="s">
        <v>370</v>
      </c>
      <c r="B436" s="1511"/>
      <c r="C436" s="1511"/>
      <c r="D436" s="278"/>
      <c r="E436" s="313"/>
      <c r="F436" s="35"/>
      <c r="G436" s="842"/>
    </row>
    <row r="437" spans="1:7" ht="29.25" customHeight="1">
      <c r="A437" s="1510"/>
      <c r="B437" s="1511"/>
      <c r="C437" s="1511"/>
      <c r="D437" s="278"/>
      <c r="E437" s="313"/>
      <c r="F437" s="35"/>
      <c r="G437" s="443"/>
    </row>
    <row r="438" spans="1:7" ht="14.25" customHeight="1">
      <c r="A438" s="841"/>
      <c r="B438" s="833"/>
      <c r="C438" s="833"/>
      <c r="D438" s="278"/>
      <c r="E438" s="313"/>
      <c r="F438" s="35"/>
      <c r="G438" s="443"/>
    </row>
    <row r="439" spans="1:7" ht="14.25" hidden="1" customHeight="1">
      <c r="A439" s="853" t="s">
        <v>425</v>
      </c>
      <c r="B439" s="854"/>
      <c r="C439" s="854"/>
      <c r="D439" s="846"/>
      <c r="E439" s="848"/>
      <c r="F439" s="849"/>
      <c r="G439" s="855"/>
    </row>
    <row r="440" spans="1:7" ht="14.25" customHeight="1">
      <c r="A440" s="711"/>
      <c r="B440" s="833"/>
      <c r="C440" s="833"/>
      <c r="D440" s="278"/>
      <c r="E440" s="313"/>
      <c r="F440" s="35"/>
      <c r="G440" s="443"/>
    </row>
    <row r="441" spans="1:7" ht="14.25" customHeight="1">
      <c r="A441" s="711"/>
      <c r="B441" s="833"/>
      <c r="C441" s="833"/>
      <c r="D441" s="278"/>
      <c r="E441" s="313"/>
      <c r="F441" s="35"/>
      <c r="G441" s="443"/>
    </row>
    <row r="442" spans="1:7" ht="14.25" customHeight="1">
      <c r="A442" s="528"/>
      <c r="B442" s="420"/>
      <c r="C442" s="420"/>
      <c r="D442" s="426"/>
      <c r="E442" s="427"/>
      <c r="F442" s="89"/>
      <c r="G442" s="522"/>
    </row>
    <row r="443" spans="1:7" ht="14.25" customHeight="1">
      <c r="A443" s="285"/>
      <c r="C443" s="33"/>
      <c r="G443" s="89"/>
    </row>
    <row r="444" spans="1:7" ht="20.25" customHeight="1">
      <c r="A444" s="599" t="s">
        <v>488</v>
      </c>
      <c r="B444" s="422"/>
      <c r="C444" s="475"/>
      <c r="D444" s="422"/>
      <c r="E444" s="475"/>
      <c r="F444" s="88"/>
      <c r="G444" s="707"/>
    </row>
    <row r="445" spans="1:7">
      <c r="A445" s="423"/>
      <c r="B445" s="278"/>
      <c r="C445" s="477"/>
      <c r="D445" s="278"/>
      <c r="E445" s="313"/>
      <c r="F445" s="35"/>
      <c r="G445" s="443"/>
    </row>
    <row r="446" spans="1:7" ht="15.75">
      <c r="A446" s="530" t="s">
        <v>48</v>
      </c>
      <c r="B446" s="278"/>
      <c r="C446" s="313"/>
      <c r="D446" s="314"/>
      <c r="E446" s="315"/>
      <c r="F446" s="315"/>
      <c r="G446" s="443"/>
    </row>
    <row r="447" spans="1:7">
      <c r="A447" s="708" t="s">
        <v>55</v>
      </c>
      <c r="B447" s="278"/>
      <c r="C447" s="313"/>
      <c r="D447" s="314" t="s">
        <v>495</v>
      </c>
      <c r="E447" s="315" t="s">
        <v>496</v>
      </c>
      <c r="F447" s="315" t="s">
        <v>497</v>
      </c>
      <c r="G447" s="65"/>
    </row>
    <row r="448" spans="1:7">
      <c r="A448" s="708"/>
      <c r="B448" s="278"/>
      <c r="C448" s="313"/>
      <c r="D448" s="314"/>
      <c r="E448" s="315"/>
      <c r="F448" s="124"/>
      <c r="G448" s="65"/>
    </row>
    <row r="449" spans="1:7">
      <c r="A449" s="709" t="s">
        <v>49</v>
      </c>
      <c r="B449" s="278"/>
      <c r="C449" s="313"/>
      <c r="D449" s="710" t="s">
        <v>655</v>
      </c>
      <c r="E449" s="710" t="s">
        <v>655</v>
      </c>
      <c r="F449" s="710" t="s">
        <v>655</v>
      </c>
      <c r="G449" s="65"/>
    </row>
    <row r="450" spans="1:7">
      <c r="A450" s="711" t="s">
        <v>50</v>
      </c>
      <c r="B450" s="712"/>
      <c r="C450" s="313"/>
      <c r="D450" s="320">
        <f>'[6]Trust Waterfalls'!$B$18</f>
        <v>16937098.75</v>
      </c>
      <c r="E450" s="320">
        <f>'[5]Trust Waterfalls'!$B$18</f>
        <v>15939348.210000001</v>
      </c>
      <c r="F450" s="897">
        <f>'[3]Trust Waterfalls'!$B$18</f>
        <v>15555856.58</v>
      </c>
      <c r="G450" s="65"/>
    </row>
    <row r="451" spans="1:7">
      <c r="A451" s="711" t="s">
        <v>51</v>
      </c>
      <c r="B451" s="278"/>
      <c r="C451" s="313"/>
      <c r="D451" s="320">
        <f>'[6]Trust Waterfalls'!$B$19</f>
        <v>1491054.1</v>
      </c>
      <c r="E451" s="320">
        <f>'[5]Trust Waterfalls'!$B$19</f>
        <v>1370895.09</v>
      </c>
      <c r="F451" s="897">
        <f>'[3]Trust Waterfalls'!$B$19</f>
        <v>1388720.38</v>
      </c>
      <c r="G451" s="65"/>
    </row>
    <row r="452" spans="1:7">
      <c r="A452" s="711" t="s">
        <v>127</v>
      </c>
      <c r="B452" s="278"/>
      <c r="C452" s="313"/>
      <c r="D452" s="320">
        <f>'[6]Trust Waterfalls'!$B$20</f>
        <v>0</v>
      </c>
      <c r="E452" s="320">
        <f>'[5]Trust Waterfalls'!$B$20</f>
        <v>0</v>
      </c>
      <c r="F452" s="897">
        <f>'[3]Trust Waterfalls'!$B$20</f>
        <v>0</v>
      </c>
      <c r="G452" s="65"/>
    </row>
    <row r="453" spans="1:7">
      <c r="A453" s="711" t="s">
        <v>128</v>
      </c>
      <c r="B453" s="278"/>
      <c r="C453" s="313"/>
      <c r="D453" s="320">
        <f>'[6]Trust Waterfalls'!$B$21</f>
        <v>60797.13</v>
      </c>
      <c r="E453" s="320">
        <f>'[5]Trust Waterfalls'!$B$21</f>
        <v>58886.31</v>
      </c>
      <c r="F453" s="897">
        <f>'[3]Trust Waterfalls'!$B$21</f>
        <v>65436.6</v>
      </c>
      <c r="G453" s="65"/>
    </row>
    <row r="454" spans="1:7">
      <c r="A454" s="711" t="s">
        <v>129</v>
      </c>
      <c r="B454" s="278"/>
      <c r="C454" s="313"/>
      <c r="D454" s="320">
        <f>'[6]Trust Waterfalls'!$B$25</f>
        <v>0</v>
      </c>
      <c r="E454" s="320">
        <f>'[5]Trust Waterfalls'!$B$25</f>
        <v>0</v>
      </c>
      <c r="F454" s="897">
        <f>'[3]Trust Waterfalls'!$B$25</f>
        <v>0</v>
      </c>
      <c r="G454" s="65"/>
    </row>
    <row r="455" spans="1:7" ht="15.75" customHeight="1" thickBot="1">
      <c r="A455" s="423"/>
      <c r="B455" s="1514" t="s">
        <v>49</v>
      </c>
      <c r="C455" s="1514"/>
      <c r="D455" s="113">
        <f>+SUM(D450:D453)-D454</f>
        <v>18488949.98</v>
      </c>
      <c r="E455" s="113">
        <f>+SUM(E450:E453)-E454</f>
        <v>17369129.609999999</v>
      </c>
      <c r="F455" s="898">
        <f>+SUM(F450:F453)-F454</f>
        <v>17010013.560000002</v>
      </c>
      <c r="G455" s="65"/>
    </row>
    <row r="456" spans="1:7" ht="13.5" thickTop="1">
      <c r="A456" s="714"/>
      <c r="B456" s="278"/>
      <c r="C456" s="313"/>
      <c r="D456" s="278"/>
      <c r="E456" s="278"/>
      <c r="F456" s="899"/>
      <c r="G456" s="65"/>
    </row>
    <row r="457" spans="1:7">
      <c r="A457" s="709" t="s">
        <v>130</v>
      </c>
      <c r="B457" s="715"/>
      <c r="C457" s="313"/>
      <c r="D457" s="710" t="s">
        <v>655</v>
      </c>
      <c r="E457" s="710" t="s">
        <v>655</v>
      </c>
      <c r="F457" s="900" t="s">
        <v>655</v>
      </c>
      <c r="G457" s="65"/>
    </row>
    <row r="458" spans="1:7">
      <c r="A458" s="711" t="s">
        <v>131</v>
      </c>
      <c r="B458" s="715"/>
      <c r="C458" s="313"/>
      <c r="D458" s="713">
        <f>'[6]Trust Waterfalls'!$B$29</f>
        <v>0</v>
      </c>
      <c r="E458" s="716">
        <f>'[5]Trust Waterfalls'!$B$29</f>
        <v>0</v>
      </c>
      <c r="F458" s="897">
        <f>'[3]Trust Waterfalls'!$B$29</f>
        <v>0</v>
      </c>
      <c r="G458" s="65"/>
    </row>
    <row r="459" spans="1:7">
      <c r="A459" s="711" t="s">
        <v>132</v>
      </c>
      <c r="B459" s="715"/>
      <c r="C459" s="313"/>
      <c r="D459" s="278">
        <f>'[6]Trust Waterfalls'!$B$44</f>
        <v>340699.10000000003</v>
      </c>
      <c r="E459" s="278">
        <f>'[5]Trust Waterfalls'!$B$44</f>
        <v>320762.08</v>
      </c>
      <c r="F459" s="897">
        <f>'[3]Trust Waterfalls'!$B$44</f>
        <v>330318.84000000003</v>
      </c>
      <c r="G459" s="65"/>
    </row>
    <row r="460" spans="1:7">
      <c r="A460" s="711" t="s">
        <v>133</v>
      </c>
      <c r="B460" s="715"/>
      <c r="C460" s="313"/>
      <c r="D460" s="328">
        <f>'[6]Trust Waterfalls'!$B$39</f>
        <v>8793802.1099999994</v>
      </c>
      <c r="E460" s="278">
        <f>'[5]Trust Waterfalls'!$B$39</f>
        <v>8379882.9699999997</v>
      </c>
      <c r="F460" s="897">
        <f>'[3]Trust Waterfalls'!$B$39</f>
        <v>8335188.7199999997</v>
      </c>
      <c r="G460" s="65"/>
    </row>
    <row r="461" spans="1:7">
      <c r="A461" s="711" t="s">
        <v>134</v>
      </c>
      <c r="B461" s="278"/>
      <c r="C461" s="313"/>
      <c r="D461" s="717">
        <f>'[6]Trust Waterfalls'!$B$40</f>
        <v>9354448.7699999996</v>
      </c>
      <c r="E461" s="718">
        <f>'[5]Trust Waterfalls'!$B$40</f>
        <v>8668484.5600000005</v>
      </c>
      <c r="F461" s="897">
        <f>'[3]Trust Waterfalls'!$B$40</f>
        <v>8344506</v>
      </c>
      <c r="G461" s="65"/>
    </row>
    <row r="462" spans="1:7">
      <c r="A462" s="711" t="s">
        <v>936</v>
      </c>
      <c r="B462" s="278"/>
      <c r="C462" s="313"/>
      <c r="D462" s="278">
        <f>'[6]Trust Waterfalls'!$B$41</f>
        <v>0</v>
      </c>
      <c r="E462" s="278">
        <f>'[5]Trust Waterfalls'!$B$41</f>
        <v>0</v>
      </c>
      <c r="F462" s="897">
        <f>'[3]Trust Waterfalls'!$B$41</f>
        <v>0</v>
      </c>
      <c r="G462" s="65"/>
    </row>
    <row r="463" spans="1:7" ht="13.5" customHeight="1">
      <c r="A463" s="423"/>
      <c r="B463" s="278"/>
      <c r="C463" s="313"/>
      <c r="D463" s="278"/>
      <c r="E463" s="313"/>
      <c r="F463" s="35"/>
      <c r="G463" s="65"/>
    </row>
    <row r="464" spans="1:7" ht="13.5" customHeight="1">
      <c r="A464" s="719"/>
      <c r="B464" s="278"/>
      <c r="C464" s="313"/>
      <c r="D464" s="278"/>
      <c r="E464" s="720"/>
      <c r="F464" s="35"/>
      <c r="G464" s="65"/>
    </row>
    <row r="465" spans="1:7" ht="13.5" customHeight="1">
      <c r="A465" s="721"/>
      <c r="B465" s="278"/>
      <c r="C465" s="313"/>
      <c r="D465" s="278"/>
      <c r="E465" s="313"/>
      <c r="F465" s="35"/>
      <c r="G465" s="65"/>
    </row>
    <row r="466" spans="1:7" ht="13.5" customHeight="1">
      <c r="A466" s="530" t="s">
        <v>588</v>
      </c>
      <c r="B466" s="278"/>
      <c r="C466" s="313"/>
      <c r="D466" s="278"/>
      <c r="E466" s="313"/>
      <c r="F466" s="35"/>
      <c r="G466" s="65"/>
    </row>
    <row r="467" spans="1:7" ht="13.5" customHeight="1">
      <c r="A467" s="721"/>
      <c r="B467" s="278"/>
      <c r="C467" s="313"/>
      <c r="D467" s="278"/>
      <c r="E467" s="313"/>
      <c r="F467" s="35"/>
      <c r="G467" s="65"/>
    </row>
    <row r="468" spans="1:7">
      <c r="A468" s="708" t="s">
        <v>371</v>
      </c>
      <c r="B468" s="278"/>
      <c r="C468" s="320" t="s">
        <v>498</v>
      </c>
      <c r="D468" s="278"/>
      <c r="E468" s="313"/>
      <c r="F468" s="35"/>
      <c r="G468" s="65"/>
    </row>
    <row r="469" spans="1:7">
      <c r="A469" s="423"/>
      <c r="B469" s="278"/>
      <c r="C469" s="313"/>
      <c r="D469" s="278"/>
      <c r="E469" s="313"/>
      <c r="F469" s="35"/>
      <c r="G469" s="65"/>
    </row>
    <row r="470" spans="1:7">
      <c r="A470" s="709" t="s">
        <v>849</v>
      </c>
      <c r="B470" s="278"/>
      <c r="C470" s="710" t="s">
        <v>655</v>
      </c>
      <c r="D470" s="278"/>
      <c r="E470" s="313"/>
      <c r="F470" s="35"/>
      <c r="G470" s="65"/>
    </row>
    <row r="471" spans="1:7">
      <c r="A471" s="711" t="s">
        <v>382</v>
      </c>
      <c r="B471" s="278"/>
      <c r="C471" s="58" t="e">
        <f>+#REF!</f>
        <v>#REF!</v>
      </c>
      <c r="D471" s="278"/>
      <c r="E471" s="313"/>
      <c r="F471" s="35"/>
      <c r="G471" s="65"/>
    </row>
    <row r="472" spans="1:7">
      <c r="A472" s="711" t="s">
        <v>589</v>
      </c>
      <c r="B472" s="278"/>
      <c r="C472" s="58" t="e">
        <f>+#REF!</f>
        <v>#REF!</v>
      </c>
      <c r="D472" s="278"/>
      <c r="E472" s="313"/>
      <c r="F472" s="35"/>
      <c r="G472" s="65"/>
    </row>
    <row r="473" spans="1:7">
      <c r="A473" s="711" t="s">
        <v>623</v>
      </c>
      <c r="B473" s="278"/>
      <c r="C473" s="58" t="e">
        <f>+#REF!</f>
        <v>#REF!</v>
      </c>
      <c r="D473" s="278"/>
      <c r="E473" s="313"/>
      <c r="F473" s="35"/>
      <c r="G473" s="65"/>
    </row>
    <row r="474" spans="1:7">
      <c r="A474" s="711" t="s">
        <v>902</v>
      </c>
      <c r="B474" s="278"/>
      <c r="C474" s="58" t="e">
        <f>+#REF!</f>
        <v>#REF!</v>
      </c>
      <c r="D474" s="278"/>
      <c r="E474" s="313"/>
      <c r="F474" s="35"/>
      <c r="G474" s="65"/>
    </row>
    <row r="475" spans="1:7">
      <c r="A475" s="711" t="s">
        <v>903</v>
      </c>
      <c r="B475" s="278"/>
      <c r="C475" s="58" t="e">
        <f>+#REF!</f>
        <v>#REF!</v>
      </c>
      <c r="D475" s="278"/>
      <c r="E475" s="313"/>
      <c r="F475" s="126"/>
      <c r="G475" s="65"/>
    </row>
    <row r="476" spans="1:7">
      <c r="A476" s="711" t="s">
        <v>904</v>
      </c>
      <c r="B476" s="278"/>
      <c r="C476" s="58" t="e">
        <f>+#REF!</f>
        <v>#REF!</v>
      </c>
      <c r="D476" s="278"/>
      <c r="E476" s="313"/>
      <c r="F476" s="35"/>
      <c r="G476" s="65"/>
    </row>
    <row r="477" spans="1:7" ht="13.5" thickBot="1">
      <c r="A477" s="423"/>
      <c r="B477" s="706" t="s">
        <v>849</v>
      </c>
      <c r="C477" s="50" t="e">
        <f>+#REF!</f>
        <v>#REF!</v>
      </c>
      <c r="D477" s="278"/>
      <c r="E477" s="313"/>
      <c r="F477" s="35"/>
      <c r="G477" s="65"/>
    </row>
    <row r="478" spans="1:7" ht="13.5" thickTop="1">
      <c r="A478" s="423"/>
      <c r="B478" s="706"/>
      <c r="C478" s="722"/>
      <c r="D478" s="278"/>
      <c r="E478" s="313"/>
      <c r="F478" s="35"/>
      <c r="G478" s="65"/>
    </row>
    <row r="479" spans="1:7">
      <c r="A479" s="709" t="s">
        <v>765</v>
      </c>
      <c r="B479" s="278"/>
      <c r="C479" s="710" t="s">
        <v>655</v>
      </c>
      <c r="D479" s="278"/>
      <c r="E479" s="313"/>
      <c r="F479" s="35"/>
      <c r="G479" s="65"/>
    </row>
    <row r="480" spans="1:7">
      <c r="A480" s="711" t="s">
        <v>905</v>
      </c>
      <c r="B480" s="278"/>
      <c r="C480" s="58" t="e">
        <f>+#REF!</f>
        <v>#REF!</v>
      </c>
      <c r="D480" s="278"/>
      <c r="E480" s="313"/>
      <c r="F480" s="35"/>
      <c r="G480" s="65"/>
    </row>
    <row r="481" spans="1:7">
      <c r="A481" s="711" t="s">
        <v>906</v>
      </c>
      <c r="B481" s="278"/>
      <c r="C481" s="58" t="e">
        <f>+#REF!+#REF!</f>
        <v>#REF!</v>
      </c>
      <c r="D481" s="278"/>
      <c r="E481" s="313"/>
      <c r="F481" s="126"/>
      <c r="G481" s="65"/>
    </row>
    <row r="482" spans="1:7">
      <c r="A482" s="711" t="s">
        <v>950</v>
      </c>
      <c r="B482" s="278"/>
      <c r="C482" s="58" t="e">
        <f>+SUM(#REF!)</f>
        <v>#REF!</v>
      </c>
      <c r="D482" s="278"/>
      <c r="E482" s="313"/>
      <c r="F482" s="126"/>
      <c r="G482" s="65"/>
    </row>
    <row r="483" spans="1:7">
      <c r="A483" s="711" t="s">
        <v>907</v>
      </c>
      <c r="B483" s="278"/>
      <c r="C483" s="58">
        <v>0</v>
      </c>
      <c r="D483" s="278"/>
      <c r="E483" s="313"/>
      <c r="F483" s="126"/>
      <c r="G483" s="65"/>
    </row>
    <row r="484" spans="1:7">
      <c r="A484" s="711" t="s">
        <v>717</v>
      </c>
      <c r="B484" s="278"/>
      <c r="C484" s="58" t="e">
        <f>+SUM(#REF!)</f>
        <v>#REF!</v>
      </c>
      <c r="D484" s="278"/>
      <c r="E484" s="313"/>
      <c r="F484" s="126"/>
      <c r="G484" s="65"/>
    </row>
    <row r="485" spans="1:7">
      <c r="A485" s="711" t="s">
        <v>908</v>
      </c>
      <c r="B485" s="278"/>
      <c r="C485" s="58" t="e">
        <f>+#REF!</f>
        <v>#REF!</v>
      </c>
      <c r="D485" s="278"/>
      <c r="E485" s="313"/>
      <c r="F485" s="126"/>
      <c r="G485" s="65"/>
    </row>
    <row r="486" spans="1:7">
      <c r="A486" s="711" t="s">
        <v>909</v>
      </c>
      <c r="B486" s="278"/>
      <c r="C486" s="58" t="e">
        <f>+#REF!</f>
        <v>#REF!</v>
      </c>
      <c r="D486" s="278"/>
      <c r="E486" s="313"/>
      <c r="F486" s="35"/>
      <c r="G486" s="65"/>
    </row>
    <row r="487" spans="1:7">
      <c r="A487" s="711" t="s">
        <v>718</v>
      </c>
      <c r="B487" s="278"/>
      <c r="C487" s="58" t="e">
        <f>+SUM(#REF!)</f>
        <v>#REF!</v>
      </c>
      <c r="D487" s="278"/>
      <c r="E487" s="313"/>
      <c r="F487" s="35"/>
      <c r="G487" s="65"/>
    </row>
    <row r="488" spans="1:7">
      <c r="A488" s="711" t="s">
        <v>910</v>
      </c>
      <c r="B488" s="278"/>
      <c r="C488" s="58" t="e">
        <f>+ROUND(#REF!,2)</f>
        <v>#REF!</v>
      </c>
      <c r="D488" s="278"/>
      <c r="E488" s="313"/>
      <c r="F488" s="35"/>
      <c r="G488" s="65"/>
    </row>
    <row r="489" spans="1:7">
      <c r="A489" s="711" t="s">
        <v>719</v>
      </c>
      <c r="B489" s="278"/>
      <c r="C489" s="58" t="e">
        <f>+SUM(#REF!)</f>
        <v>#REF!</v>
      </c>
      <c r="D489" s="278"/>
      <c r="E489" s="313"/>
      <c r="F489" s="35"/>
      <c r="G489" s="65"/>
    </row>
    <row r="490" spans="1:7">
      <c r="A490" s="711" t="s">
        <v>911</v>
      </c>
      <c r="B490" s="278"/>
      <c r="C490" s="58" t="e">
        <f>+#REF!</f>
        <v>#REF!</v>
      </c>
      <c r="D490" s="278"/>
      <c r="E490" s="313"/>
      <c r="F490" s="35"/>
      <c r="G490" s="65"/>
    </row>
    <row r="491" spans="1:7">
      <c r="A491" s="711" t="s">
        <v>428</v>
      </c>
      <c r="B491" s="278"/>
      <c r="C491" s="58" t="e">
        <f>+#REF!</f>
        <v>#REF!</v>
      </c>
      <c r="D491" s="278"/>
      <c r="E491" s="313"/>
      <c r="F491" s="35"/>
      <c r="G491" s="65"/>
    </row>
    <row r="492" spans="1:7">
      <c r="A492" s="711" t="s">
        <v>1063</v>
      </c>
      <c r="B492" s="278"/>
      <c r="C492" s="58" t="e">
        <f>#REF!</f>
        <v>#REF!</v>
      </c>
      <c r="D492" s="278"/>
      <c r="E492" s="313"/>
      <c r="F492" s="35"/>
      <c r="G492" s="65"/>
    </row>
    <row r="493" spans="1:7">
      <c r="A493" s="711" t="s">
        <v>373</v>
      </c>
      <c r="B493" s="278"/>
      <c r="C493" s="270" t="e">
        <f>+SUM(#REF!)-#REF!</f>
        <v>#REF!</v>
      </c>
      <c r="D493" s="278"/>
      <c r="E493" s="313"/>
      <c r="F493" s="35"/>
      <c r="G493" s="65"/>
    </row>
    <row r="494" spans="1:7">
      <c r="A494" s="711"/>
      <c r="B494" s="278"/>
      <c r="C494" s="313"/>
      <c r="D494" s="278"/>
      <c r="E494" s="313"/>
      <c r="F494" s="35"/>
      <c r="G494" s="443"/>
    </row>
    <row r="495" spans="1:7">
      <c r="A495" s="709"/>
      <c r="B495" s="278"/>
      <c r="C495" s="313"/>
      <c r="D495" s="278"/>
      <c r="E495" s="313"/>
      <c r="F495" s="35"/>
      <c r="G495" s="443"/>
    </row>
    <row r="496" spans="1:7">
      <c r="A496" s="723" t="s">
        <v>766</v>
      </c>
      <c r="B496" s="724" t="e">
        <f>+#REF!</f>
        <v>#REF!</v>
      </c>
      <c r="C496" s="35"/>
      <c r="D496" s="278"/>
      <c r="E496" s="313"/>
      <c r="F496" s="35"/>
      <c r="G496" s="65"/>
    </row>
    <row r="497" spans="1:10">
      <c r="A497" s="723"/>
      <c r="B497" s="278"/>
      <c r="C497" s="58"/>
      <c r="D497" s="278"/>
      <c r="E497" s="313"/>
      <c r="F497" s="35"/>
      <c r="G497" s="65"/>
    </row>
    <row r="498" spans="1:10">
      <c r="A498" s="431"/>
      <c r="B498" s="278"/>
      <c r="C498" s="313"/>
      <c r="D498" s="278"/>
      <c r="E498" s="313"/>
      <c r="F498" s="35"/>
      <c r="G498" s="65"/>
    </row>
    <row r="499" spans="1:10" ht="15.75">
      <c r="A499" s="530" t="s">
        <v>381</v>
      </c>
      <c r="B499" s="278"/>
      <c r="C499" s="710" t="s">
        <v>655</v>
      </c>
      <c r="D499" s="278"/>
      <c r="E499" s="313"/>
      <c r="F499" s="35"/>
      <c r="G499" s="65"/>
    </row>
    <row r="500" spans="1:10">
      <c r="A500" s="721"/>
      <c r="B500" s="278"/>
      <c r="C500" s="313"/>
      <c r="D500" s="278"/>
      <c r="E500" s="313"/>
      <c r="F500" s="35"/>
      <c r="G500" s="65"/>
    </row>
    <row r="501" spans="1:10">
      <c r="A501" s="708" t="s">
        <v>372</v>
      </c>
      <c r="B501" s="278"/>
      <c r="C501" s="320" t="str">
        <f>C468</f>
        <v>20/May/2011-22/Aug/2011</v>
      </c>
      <c r="D501" s="278"/>
      <c r="E501" s="313"/>
      <c r="F501" s="35"/>
      <c r="G501" s="65"/>
    </row>
    <row r="502" spans="1:10">
      <c r="A502" s="423"/>
      <c r="B502" s="278"/>
      <c r="C502" s="313"/>
      <c r="D502" s="278"/>
      <c r="E502" s="313"/>
      <c r="F502" s="35"/>
      <c r="G502" s="65"/>
    </row>
    <row r="503" spans="1:10">
      <c r="A503" s="476" t="s">
        <v>981</v>
      </c>
      <c r="B503" s="278"/>
      <c r="C503" s="313"/>
      <c r="D503" s="278"/>
      <c r="E503" s="313"/>
      <c r="F503" s="35"/>
      <c r="G503" s="65"/>
    </row>
    <row r="504" spans="1:10">
      <c r="A504" s="423" t="s">
        <v>912</v>
      </c>
      <c r="B504" s="278"/>
      <c r="C504" s="58" t="e">
        <f>+#REF!</f>
        <v>#REF!</v>
      </c>
      <c r="D504" s="278"/>
      <c r="E504" s="313"/>
      <c r="F504" s="126"/>
      <c r="G504" s="65"/>
    </row>
    <row r="505" spans="1:10">
      <c r="A505" s="423" t="s">
        <v>913</v>
      </c>
      <c r="B505" s="278"/>
      <c r="C505" s="58" t="e">
        <f>+#REF!</f>
        <v>#REF!</v>
      </c>
      <c r="D505" s="278"/>
      <c r="E505" s="313"/>
      <c r="F505" s="126"/>
      <c r="G505" s="65"/>
      <c r="H505" s="725"/>
      <c r="I505" s="725"/>
      <c r="J505" s="725"/>
    </row>
    <row r="506" spans="1:10">
      <c r="A506" s="431"/>
      <c r="B506" s="278"/>
      <c r="C506" s="313"/>
      <c r="D506" s="278"/>
      <c r="E506" s="313"/>
      <c r="F506" s="126"/>
      <c r="G506" s="65"/>
      <c r="H506" s="283"/>
      <c r="I506" s="110"/>
      <c r="J506" s="111"/>
    </row>
    <row r="507" spans="1:10">
      <c r="A507" s="476" t="s">
        <v>387</v>
      </c>
      <c r="B507" s="278"/>
      <c r="C507" s="710" t="s">
        <v>655</v>
      </c>
      <c r="D507" s="278"/>
      <c r="E507" s="313"/>
      <c r="F507" s="35"/>
      <c r="G507" s="65"/>
      <c r="H507" s="111"/>
      <c r="I507" s="110"/>
      <c r="J507" s="111"/>
    </row>
    <row r="508" spans="1:10">
      <c r="A508" s="423" t="s">
        <v>905</v>
      </c>
      <c r="B508" s="278"/>
      <c r="C508" s="58" t="e">
        <f>+#REF!</f>
        <v>#REF!</v>
      </c>
      <c r="D508" s="278"/>
      <c r="E508" s="313"/>
      <c r="F508" s="126"/>
      <c r="G508" s="726">
        <v>4</v>
      </c>
      <c r="H508" s="727"/>
      <c r="I508" s="728"/>
      <c r="J508" s="729"/>
    </row>
    <row r="509" spans="1:10">
      <c r="A509" s="423" t="s">
        <v>914</v>
      </c>
      <c r="B509" s="278"/>
      <c r="C509" s="58" t="e">
        <f>+SUM(#REF!)</f>
        <v>#REF!</v>
      </c>
      <c r="D509" s="278"/>
      <c r="E509" s="313"/>
      <c r="F509" s="126"/>
      <c r="G509" s="65"/>
      <c r="H509" s="727"/>
      <c r="I509" s="728"/>
      <c r="J509" s="729"/>
    </row>
    <row r="510" spans="1:10">
      <c r="A510" s="423" t="s">
        <v>915</v>
      </c>
      <c r="B510" s="278"/>
      <c r="C510" s="58" t="e">
        <f>+SUM(#REF!)</f>
        <v>#REF!</v>
      </c>
      <c r="D510" s="278"/>
      <c r="E510" s="313"/>
      <c r="F510" s="126"/>
      <c r="G510" s="65"/>
      <c r="H510" s="727"/>
      <c r="I510" s="728"/>
      <c r="J510" s="729"/>
    </row>
    <row r="511" spans="1:10">
      <c r="A511" s="423" t="s">
        <v>395</v>
      </c>
      <c r="B511" s="278"/>
      <c r="C511" s="58" t="e">
        <f>+SUM(#REF!)</f>
        <v>#REF!</v>
      </c>
      <c r="D511" s="278"/>
      <c r="E511" s="313"/>
      <c r="F511" s="126"/>
      <c r="G511" s="65"/>
      <c r="H511" s="730"/>
      <c r="J511" s="730"/>
    </row>
    <row r="512" spans="1:10">
      <c r="A512" s="423" t="s">
        <v>396</v>
      </c>
      <c r="B512" s="278"/>
      <c r="C512" s="58" t="e">
        <f>+SUM(#REF!)</f>
        <v>#REF!</v>
      </c>
      <c r="D512" s="278"/>
      <c r="E512" s="313"/>
      <c r="F512" s="35"/>
      <c r="G512" s="65"/>
      <c r="H512" s="730"/>
      <c r="J512" s="730"/>
    </row>
    <row r="513" spans="1:12">
      <c r="A513" s="423" t="s">
        <v>373</v>
      </c>
      <c r="B513" s="278"/>
      <c r="C513" s="58" t="e">
        <f>+SUM(#REF!)</f>
        <v>#REF!</v>
      </c>
      <c r="D513" s="278"/>
      <c r="E513" s="313"/>
      <c r="F513" s="35"/>
      <c r="G513" s="65"/>
      <c r="H513" s="731"/>
      <c r="I513" s="731"/>
      <c r="J513" s="731"/>
    </row>
    <row r="514" spans="1:12">
      <c r="A514" s="423"/>
      <c r="B514" s="278"/>
      <c r="C514" s="58"/>
      <c r="D514" s="278"/>
      <c r="E514" s="313"/>
      <c r="F514" s="35"/>
      <c r="G514" s="65"/>
      <c r="H514" s="731"/>
      <c r="I514" s="731"/>
      <c r="J514" s="731"/>
    </row>
    <row r="515" spans="1:12">
      <c r="A515" s="723" t="s">
        <v>982</v>
      </c>
      <c r="B515" s="724" t="e">
        <f>+#REF!</f>
        <v>#REF!</v>
      </c>
      <c r="C515" s="35"/>
      <c r="D515" s="278"/>
      <c r="E515" s="313"/>
      <c r="F515" s="35"/>
      <c r="G515" s="65"/>
      <c r="H515" s="731"/>
      <c r="I515" s="731"/>
      <c r="J515" s="731"/>
    </row>
    <row r="516" spans="1:12" ht="42.75" customHeight="1">
      <c r="A516" s="1512" t="s">
        <v>98</v>
      </c>
      <c r="B516" s="1513"/>
      <c r="C516" s="1513"/>
      <c r="D516" s="1513"/>
      <c r="E516" s="1513"/>
      <c r="F516" s="1513"/>
      <c r="G516" s="67"/>
      <c r="H516" s="731"/>
      <c r="I516" s="731"/>
      <c r="J516" s="731"/>
    </row>
    <row r="517" spans="1:12">
      <c r="A517" s="337"/>
      <c r="D517" s="339">
        <v>1</v>
      </c>
      <c r="E517" s="339">
        <v>2</v>
      </c>
      <c r="F517" s="339">
        <v>3</v>
      </c>
      <c r="G517" s="526"/>
      <c r="H517" s="732"/>
      <c r="I517" s="732"/>
      <c r="J517" s="732"/>
      <c r="K517" s="35"/>
    </row>
    <row r="518" spans="1:12">
      <c r="A518" s="337"/>
      <c r="D518" s="339"/>
      <c r="E518" s="339"/>
      <c r="F518" s="339"/>
      <c r="G518" s="732"/>
      <c r="H518" s="732"/>
      <c r="I518" s="732"/>
      <c r="J518" s="732"/>
      <c r="K518" s="35"/>
    </row>
    <row r="519" spans="1:12" ht="18.75">
      <c r="A519" s="525" t="s">
        <v>364</v>
      </c>
      <c r="D519" s="339"/>
      <c r="E519" s="339"/>
      <c r="F519" s="339"/>
      <c r="G519" s="424"/>
      <c r="H519" s="439"/>
      <c r="I519" s="424"/>
      <c r="J519" s="311"/>
      <c r="K519" s="35"/>
    </row>
    <row r="520" spans="1:12">
      <c r="A520" s="337"/>
      <c r="D520" s="339"/>
      <c r="E520" s="339"/>
      <c r="F520" s="339"/>
      <c r="G520" s="424"/>
      <c r="H520" s="311"/>
      <c r="I520" s="424"/>
      <c r="J520" s="311"/>
      <c r="K520" s="35"/>
    </row>
    <row r="521" spans="1:12" ht="15.75">
      <c r="A521" s="531" t="s">
        <v>398</v>
      </c>
      <c r="B521" s="422"/>
      <c r="C521" s="475"/>
      <c r="D521" s="743" t="s">
        <v>11</v>
      </c>
      <c r="E521" s="744" t="s">
        <v>12</v>
      </c>
      <c r="F521" s="526" t="s">
        <v>450</v>
      </c>
      <c r="G521" s="526" t="s">
        <v>13</v>
      </c>
      <c r="H521" s="526" t="s">
        <v>14</v>
      </c>
      <c r="I521" s="526" t="s">
        <v>15</v>
      </c>
      <c r="J521" s="526" t="s">
        <v>10</v>
      </c>
      <c r="K521" s="88"/>
      <c r="L521" s="66"/>
    </row>
    <row r="522" spans="1:12">
      <c r="A522" s="745"/>
      <c r="B522" s="278"/>
      <c r="C522" s="313"/>
      <c r="D522" s="746"/>
      <c r="E522" s="747"/>
      <c r="F522" s="732"/>
      <c r="G522" s="732"/>
      <c r="H522" s="732"/>
      <c r="I522" s="732"/>
      <c r="J522" s="732"/>
      <c r="K522" s="35"/>
      <c r="L522" s="65"/>
    </row>
    <row r="523" spans="1:12">
      <c r="A523" s="748" t="s">
        <v>399</v>
      </c>
      <c r="B523" s="278"/>
      <c r="C523" s="313"/>
      <c r="D523" s="424" t="s">
        <v>400</v>
      </c>
      <c r="E523" s="439" t="s">
        <v>401</v>
      </c>
      <c r="F523" s="311" t="s">
        <v>402</v>
      </c>
      <c r="G523" s="424" t="s">
        <v>403</v>
      </c>
      <c r="H523" s="439" t="s">
        <v>404</v>
      </c>
      <c r="I523" s="424" t="s">
        <v>405</v>
      </c>
      <c r="J523" s="311" t="s">
        <v>406</v>
      </c>
      <c r="K523" s="35"/>
      <c r="L523" s="65"/>
    </row>
    <row r="524" spans="1:12">
      <c r="A524" s="748" t="s">
        <v>407</v>
      </c>
      <c r="B524" s="278"/>
      <c r="C524" s="313"/>
      <c r="D524" s="424" t="s">
        <v>919</v>
      </c>
      <c r="E524" s="439" t="s">
        <v>920</v>
      </c>
      <c r="F524" s="311">
        <v>27376355</v>
      </c>
      <c r="G524" s="424" t="s">
        <v>921</v>
      </c>
      <c r="H524" s="311">
        <v>27384030</v>
      </c>
      <c r="I524" s="424" t="s">
        <v>922</v>
      </c>
      <c r="J524" s="311">
        <v>27384650</v>
      </c>
      <c r="K524" s="35"/>
      <c r="L524" s="65"/>
    </row>
    <row r="525" spans="1:12">
      <c r="A525" s="748" t="s">
        <v>658</v>
      </c>
      <c r="B525" s="278"/>
      <c r="C525" s="313"/>
      <c r="D525" s="749">
        <v>1900000000</v>
      </c>
      <c r="E525" s="750">
        <v>455000000</v>
      </c>
      <c r="F525" s="751">
        <v>610000000</v>
      </c>
      <c r="G525" s="749">
        <v>2596000000</v>
      </c>
      <c r="H525" s="750">
        <v>1699000000</v>
      </c>
      <c r="I525" s="749">
        <v>1038500000</v>
      </c>
      <c r="J525" s="751">
        <v>500000000</v>
      </c>
      <c r="K525" s="35"/>
      <c r="L525" s="65"/>
    </row>
    <row r="526" spans="1:12">
      <c r="A526" s="748" t="s">
        <v>659</v>
      </c>
      <c r="B526" s="278"/>
      <c r="C526" s="752"/>
      <c r="D526" s="749" t="e">
        <f>+VLOOKUP($B$9,'GMF 2 CCY Amortisation'!$CT$3:$DJ$85,2,FALSE)</f>
        <v>#REF!</v>
      </c>
      <c r="E526" s="750" t="e">
        <f>+VLOOKUP($B$9,'GMF 2 CCY Amortisation'!$CT$3:$DJ$85,3,FALSE)</f>
        <v>#REF!</v>
      </c>
      <c r="F526" s="751" t="e">
        <f>+VLOOKUP($B$9,'GMF 2 CCY Amortisation'!$CT$3:$DJ$85,4,FALSE)</f>
        <v>#REF!</v>
      </c>
      <c r="G526" s="749" t="e">
        <f>+VLOOKUP($B$9,'GMF 2 CCY Amortisation'!$CT$3:$DJ$85,5,FALSE)</f>
        <v>#REF!</v>
      </c>
      <c r="H526" s="750" t="e">
        <f>+VLOOKUP($B$9,'GMF 2 CCY Amortisation'!$CT$3:$DJ$85,6,FALSE)</f>
        <v>#REF!</v>
      </c>
      <c r="I526" s="749" t="e">
        <f>+VLOOKUP($B$9,'GMF 2 CCY Amortisation'!$CT$3:$DJ$85,7,FALSE)</f>
        <v>#REF!</v>
      </c>
      <c r="J526" s="753" t="e">
        <f>+VLOOKUP($B$9,'GMF 2 CCY Amortisation'!$CT$3:$DJ$85,8,FALSE)</f>
        <v>#REF!</v>
      </c>
      <c r="K526" s="35"/>
      <c r="L526" s="65"/>
    </row>
    <row r="527" spans="1:12">
      <c r="A527" s="748" t="s">
        <v>917</v>
      </c>
      <c r="B527" s="278"/>
      <c r="C527" s="313"/>
      <c r="D527" s="749" t="e">
        <f>+VLOOKUP($D$9,'GMF 2 CCY Amortisation'!$AR$3:$BH$85,2,FALSE)</f>
        <v>#REF!</v>
      </c>
      <c r="E527" s="754" t="e">
        <f>+VLOOKUP($D$9,'GMF 2 CCY Amortisation'!$AR$3:$BH$85,3,FALSE)</f>
        <v>#REF!</v>
      </c>
      <c r="F527" s="753" t="e">
        <f>+VLOOKUP($D$9,'GMF 2 CCY Amortisation'!$AR$3:$BH$85,4,FALSE)</f>
        <v>#REF!</v>
      </c>
      <c r="G527" s="749" t="e">
        <f>+VLOOKUP($D$9,'GMF 2 CCY Amortisation'!$AR$3:$BH$85,5,FALSE)</f>
        <v>#REF!</v>
      </c>
      <c r="H527" s="750" t="e">
        <f>+VLOOKUP($D$9,'GMF 2 CCY Amortisation'!$AR$3:$BH$85,6,FALSE)</f>
        <v>#REF!</v>
      </c>
      <c r="I527" s="749" t="e">
        <f>+VLOOKUP($D$9,'GMF 2 CCY Amortisation'!$AR$3:$BH$85,7,FALSE)</f>
        <v>#REF!</v>
      </c>
      <c r="J527" s="753" t="e">
        <f>+VLOOKUP($D$9,'GMF 2 CCY Amortisation'!$AR$3:$BH$85,8,FALSE)</f>
        <v>#REF!</v>
      </c>
      <c r="K527" s="35"/>
      <c r="L527" s="65"/>
    </row>
    <row r="528" spans="1:12">
      <c r="A528" s="748" t="s">
        <v>660</v>
      </c>
      <c r="B528" s="278"/>
      <c r="C528" s="755"/>
      <c r="D528" s="749" t="e">
        <f>+VLOOKUP($D$9,'GMF 2 CCY Amortisation'!$CT$3:$DJ$85,2,FALSE)</f>
        <v>#REF!</v>
      </c>
      <c r="E528" s="750" t="e">
        <f>+VLOOKUP($D$9,'GMF 2 CCY Amortisation'!$CT$3:$DJ$85,3,FALSE)</f>
        <v>#REF!</v>
      </c>
      <c r="F528" s="751" t="e">
        <f>+VLOOKUP($D$9,'GMF 2 CCY Amortisation'!$CT$3:$DJ$85,4,FALSE)</f>
        <v>#REF!</v>
      </c>
      <c r="G528" s="749" t="e">
        <f>+VLOOKUP($D$9,'GMF 2 CCY Amortisation'!$CT$3:$DJ$85,5,FALSE)</f>
        <v>#REF!</v>
      </c>
      <c r="H528" s="750" t="e">
        <f>+VLOOKUP($D$9,'GMF 2 CCY Amortisation'!$CT$3:$DJ$85,6,FALSE)</f>
        <v>#REF!</v>
      </c>
      <c r="I528" s="749" t="e">
        <f>+VLOOKUP($D$9,'GMF 2 CCY Amortisation'!$CT$3:$DJ$85,7,FALSE)</f>
        <v>#REF!</v>
      </c>
      <c r="J528" s="753" t="e">
        <f>+VLOOKUP($D$9,'GMF 2 CCY Amortisation'!$CT$3:$DJ$85,8,FALSE)</f>
        <v>#REF!</v>
      </c>
      <c r="K528" s="35"/>
      <c r="L528" s="65"/>
    </row>
    <row r="529" spans="1:12">
      <c r="A529" s="748" t="s">
        <v>393</v>
      </c>
      <c r="B529" s="278"/>
      <c r="C529" s="313"/>
      <c r="D529" s="756" t="e">
        <f>#REF!</f>
        <v>#REF!</v>
      </c>
      <c r="E529" s="756" t="e">
        <f>#REF!</f>
        <v>#REF!</v>
      </c>
      <c r="F529" s="756" t="e">
        <f>#REF!</f>
        <v>#REF!</v>
      </c>
      <c r="G529" s="756" t="e">
        <f>#REF!</f>
        <v>#REF!</v>
      </c>
      <c r="H529" s="756" t="e">
        <f>#REF!</f>
        <v>#REF!</v>
      </c>
      <c r="I529" s="756" t="e">
        <f>#REF!</f>
        <v>#REF!</v>
      </c>
      <c r="J529" s="756" t="e">
        <f>#REF!</f>
        <v>#REF!</v>
      </c>
      <c r="K529" s="35"/>
      <c r="L529" s="65"/>
    </row>
    <row r="530" spans="1:12">
      <c r="A530" s="748" t="s">
        <v>394</v>
      </c>
      <c r="B530" s="278"/>
      <c r="C530" s="313"/>
      <c r="D530" s="756" t="e">
        <f>#REF!</f>
        <v>#REF!</v>
      </c>
      <c r="E530" s="756" t="e">
        <f>#REF!</f>
        <v>#REF!</v>
      </c>
      <c r="F530" s="756" t="e">
        <f>#REF!</f>
        <v>#REF!</v>
      </c>
      <c r="G530" s="756" t="e">
        <f>#REF!</f>
        <v>#REF!</v>
      </c>
      <c r="H530" s="756" t="e">
        <f>#REF!</f>
        <v>#REF!</v>
      </c>
      <c r="I530" s="756" t="e">
        <f>#REF!</f>
        <v>#REF!</v>
      </c>
      <c r="J530" s="756" t="e">
        <f>#REF!</f>
        <v>#REF!</v>
      </c>
      <c r="K530" s="35"/>
      <c r="L530" s="65"/>
    </row>
    <row r="531" spans="1:12">
      <c r="A531" s="748" t="s">
        <v>661</v>
      </c>
      <c r="B531" s="278"/>
      <c r="C531" s="313"/>
      <c r="D531" s="757" t="e">
        <f>+VLOOKUP($D$9,'GMF 2 CCY Amortisation'!$S$3:$AH$85,2,FALSE)</f>
        <v>#REF!</v>
      </c>
      <c r="E531" s="750" t="e">
        <f>+VLOOKUP($D$9,'GMF 2 CCY Amortisation'!$S$3:$AH$85,3,FALSE)</f>
        <v>#REF!</v>
      </c>
      <c r="F531" s="758" t="e">
        <f>+VLOOKUP($D$9,'GMF 2 CCY Amortisation'!$S$3:$AH$85,4,FALSE)</f>
        <v>#REF!</v>
      </c>
      <c r="G531" s="757" t="e">
        <f>+VLOOKUP($D$9,'GMF 2 CCY Amortisation'!$S$3:$AH$85,5,FALSE)</f>
        <v>#REF!</v>
      </c>
      <c r="H531" s="750" t="e">
        <f>+VLOOKUP($D$9,'GMF 2 CCY Amortisation'!$S$3:$AH$85,6,FALSE)</f>
        <v>#REF!</v>
      </c>
      <c r="I531" s="757" t="e">
        <f>+VLOOKUP($D$9,'GMF 2 CCY Amortisation'!$S$3:$AH$85,7,FALSE)</f>
        <v>#REF!</v>
      </c>
      <c r="J531" s="758" t="e">
        <f>+VLOOKUP($D$9,'GMF 2 CCY Amortisation'!$S$3:$AH$85,8,FALSE)</f>
        <v>#REF!</v>
      </c>
      <c r="K531" s="35"/>
      <c r="L531" s="65"/>
    </row>
    <row r="532" spans="1:12">
      <c r="A532" s="748" t="s">
        <v>662</v>
      </c>
      <c r="B532" s="278"/>
      <c r="C532" s="313"/>
      <c r="D532" s="757" t="e">
        <f>+VLOOKUP($D$9,'GMF 2 CCY Amortisation'!$A$3:$Q$85,2,FALSE)</f>
        <v>#REF!</v>
      </c>
      <c r="E532" s="750" t="e">
        <f>+VLOOKUP($D$9,'GMF 2 CCY Amortisation'!$A$3:$Q$85,3,FALSE)</f>
        <v>#REF!</v>
      </c>
      <c r="F532" s="758" t="e">
        <f>+VLOOKUP($D$9,'GMF 2 CCY Amortisation'!$A$3:$Q$85,4,FALSE)</f>
        <v>#REF!</v>
      </c>
      <c r="G532" s="757" t="e">
        <f>+VLOOKUP($D$9,'GMF 2 CCY Amortisation'!$A$3:$Q$85,5,FALSE)</f>
        <v>#REF!</v>
      </c>
      <c r="H532" s="750" t="e">
        <f>+VLOOKUP($D$9,'GMF 2 CCY Amortisation'!$A$3:$Q$85,6,FALSE)</f>
        <v>#REF!</v>
      </c>
      <c r="I532" s="757" t="e">
        <f>+VLOOKUP($D$9,'GMF 2 CCY Amortisation'!$A$3:$Q$85,7,FALSE)</f>
        <v>#REF!</v>
      </c>
      <c r="J532" s="758" t="e">
        <f>+VLOOKUP($D$9,'GMF 2 CCY Amortisation'!$A$3:$Q$85,8,FALSE)</f>
        <v>#REF!</v>
      </c>
      <c r="K532" s="35"/>
      <c r="L532" s="65"/>
    </row>
    <row r="533" spans="1:12">
      <c r="A533" s="748" t="s">
        <v>663</v>
      </c>
      <c r="B533" s="278"/>
      <c r="C533" s="313"/>
      <c r="D533" s="757" t="e">
        <f>+VLOOKUP($D$9,'GMF 2 CCY Amortisation'!$BJ$3:$BZ$85,2,FALSE)</f>
        <v>#REF!</v>
      </c>
      <c r="E533" s="750" t="e">
        <f>+VLOOKUP($D$9,'GMF 2 CCY Amortisation'!$BJ$3:$BZ$85,3,FALSE)</f>
        <v>#REF!</v>
      </c>
      <c r="F533" s="758" t="e">
        <f>+VLOOKUP($D$9,'GMF 2 CCY Amortisation'!$BJ$3:$BZ$85,4,FALSE)</f>
        <v>#REF!</v>
      </c>
      <c r="G533" s="757" t="e">
        <f>+VLOOKUP($D$9,'GMF 2 CCY Amortisation'!$BJ$3:$BZ$85,5,FALSE)</f>
        <v>#REF!</v>
      </c>
      <c r="H533" s="750" t="e">
        <f>+VLOOKUP($D$9,'GMF 2 CCY Amortisation'!$BJ$3:$BZ$85,6,FALSE)</f>
        <v>#REF!</v>
      </c>
      <c r="I533" s="757" t="e">
        <f>+VLOOKUP($D$9,'GMF 2 CCY Amortisation'!$BJ$3:$BZ$85,7,FALSE)</f>
        <v>#REF!</v>
      </c>
      <c r="J533" s="758" t="e">
        <f>+VLOOKUP($D$9,'GMF 2 CCY Amortisation'!$BJ$3:$BZ$85,8,FALSE)</f>
        <v>#REF!</v>
      </c>
      <c r="K533" s="35"/>
      <c r="L533" s="65"/>
    </row>
    <row r="534" spans="1:12">
      <c r="A534" s="748" t="s">
        <v>118</v>
      </c>
      <c r="B534" s="278"/>
      <c r="C534" s="313"/>
      <c r="D534" s="757" t="e">
        <f>+VLOOKUP($D$9,'GMF 2 CCY Amortisation'!$CA$3:$CR$85,2,FALSE)</f>
        <v>#REF!</v>
      </c>
      <c r="E534" s="750" t="e">
        <f>+VLOOKUP($D$9,'GMF 2 CCY Amortisation'!$CA$3:$CR$85,3,FALSE)</f>
        <v>#REF!</v>
      </c>
      <c r="F534" s="758" t="e">
        <f>+VLOOKUP($D$9,'GMF 2 CCY Amortisation'!$CA$3:$CR$85,4,FALSE)</f>
        <v>#REF!</v>
      </c>
      <c r="G534" s="757" t="e">
        <f>+VLOOKUP($D$9,'GMF 2 CCY Amortisation'!$CA$3:$CR$85,5,FALSE)</f>
        <v>#REF!</v>
      </c>
      <c r="H534" s="750" t="e">
        <f>+VLOOKUP($D$9,'GMF 2 CCY Amortisation'!$CA$3:$CR$85,6,FALSE)</f>
        <v>#REF!</v>
      </c>
      <c r="I534" s="757" t="e">
        <f>+VLOOKUP($D$9,'GMF 2 CCY Amortisation'!$CA$3:$CR$85,7,FALSE)</f>
        <v>#REF!</v>
      </c>
      <c r="J534" s="758" t="e">
        <f>+VLOOKUP($D$9,'GMF 2 CCY Amortisation'!$CA$3:$CR$85,8,FALSE)</f>
        <v>#REF!</v>
      </c>
      <c r="K534" s="35"/>
      <c r="L534" s="65"/>
    </row>
    <row r="535" spans="1:12">
      <c r="A535" s="748" t="s">
        <v>740</v>
      </c>
      <c r="B535" s="278"/>
      <c r="C535" s="313"/>
      <c r="D535" s="311" t="s">
        <v>664</v>
      </c>
      <c r="E535" s="311" t="s">
        <v>664</v>
      </c>
      <c r="F535" s="311" t="s">
        <v>664</v>
      </c>
      <c r="G535" s="311" t="s">
        <v>664</v>
      </c>
      <c r="H535" s="311" t="s">
        <v>664</v>
      </c>
      <c r="I535" s="311" t="s">
        <v>664</v>
      </c>
      <c r="J535" s="311" t="s">
        <v>664</v>
      </c>
      <c r="K535" s="35"/>
      <c r="L535" s="65"/>
    </row>
    <row r="536" spans="1:12">
      <c r="A536" s="748" t="s">
        <v>665</v>
      </c>
      <c r="B536" s="278"/>
      <c r="C536" s="313"/>
      <c r="D536" s="312" t="s">
        <v>376</v>
      </c>
      <c r="E536" s="312" t="s">
        <v>667</v>
      </c>
      <c r="F536" s="312" t="s">
        <v>668</v>
      </c>
      <c r="G536" s="312" t="s">
        <v>666</v>
      </c>
      <c r="H536" s="312" t="s">
        <v>667</v>
      </c>
      <c r="I536" s="312" t="s">
        <v>666</v>
      </c>
      <c r="J536" s="312" t="s">
        <v>668</v>
      </c>
      <c r="K536" s="35"/>
      <c r="L536" s="65"/>
    </row>
    <row r="537" spans="1:12">
      <c r="A537" s="748" t="s">
        <v>669</v>
      </c>
      <c r="B537" s="278"/>
      <c r="C537" s="313"/>
      <c r="D537" s="759" t="e">
        <f>#REF!</f>
        <v>#REF!</v>
      </c>
      <c r="E537" s="759" t="e">
        <f>#REF!</f>
        <v>#REF!</v>
      </c>
      <c r="F537" s="759" t="e">
        <f>#REF!</f>
        <v>#REF!</v>
      </c>
      <c r="G537" s="759" t="e">
        <f>#REF!</f>
        <v>#REF!</v>
      </c>
      <c r="H537" s="759" t="e">
        <f>#REF!</f>
        <v>#REF!</v>
      </c>
      <c r="I537" s="759" t="e">
        <f>#REF!</f>
        <v>#REF!</v>
      </c>
      <c r="J537" s="759" t="e">
        <f>#REF!</f>
        <v>#REF!</v>
      </c>
      <c r="K537" s="35"/>
      <c r="L537" s="65"/>
    </row>
    <row r="538" spans="1:12">
      <c r="A538" s="748" t="s">
        <v>670</v>
      </c>
      <c r="B538" s="278"/>
      <c r="C538" s="313"/>
      <c r="D538" s="759" t="e">
        <f>+VLOOKUP(D521,#REF!,6,FALSE)</f>
        <v>#REF!</v>
      </c>
      <c r="E538" s="759" t="e">
        <f>+VLOOKUP(E521,#REF!,6,FALSE)</f>
        <v>#REF!</v>
      </c>
      <c r="F538" s="759" t="e">
        <f>+VLOOKUP(F521,#REF!,6,FALSE)</f>
        <v>#REF!</v>
      </c>
      <c r="G538" s="759" t="e">
        <f>+VLOOKUP(G521,#REF!,6,FALSE)</f>
        <v>#REF!</v>
      </c>
      <c r="H538" s="759" t="e">
        <f>+VLOOKUP(H521,#REF!,6,FALSE)</f>
        <v>#REF!</v>
      </c>
      <c r="I538" s="759" t="e">
        <f>+VLOOKUP(I521,#REF!,6,FALSE)</f>
        <v>#REF!</v>
      </c>
      <c r="J538" s="759" t="e">
        <f>+VLOOKUP(J521,#REF!,6,FALSE)</f>
        <v>#REF!</v>
      </c>
      <c r="K538" s="35"/>
      <c r="L538" s="65"/>
    </row>
    <row r="539" spans="1:12">
      <c r="A539" s="748" t="s">
        <v>918</v>
      </c>
      <c r="B539" s="278"/>
      <c r="C539" s="313"/>
      <c r="D539" s="749" t="e">
        <f>+VLOOKUP(D521,#REF!,3,FALSE)</f>
        <v>#REF!</v>
      </c>
      <c r="E539" s="750" t="e">
        <f>+VLOOKUP(E521,#REF!,3,FALSE)</f>
        <v>#REF!</v>
      </c>
      <c r="F539" s="751" t="e">
        <f>+VLOOKUP(F521,#REF!,3,FALSE)</f>
        <v>#REF!</v>
      </c>
      <c r="G539" s="749" t="e">
        <f>+VLOOKUP(G521,#REF!,3,FALSE)</f>
        <v>#REF!</v>
      </c>
      <c r="H539" s="750" t="e">
        <f>+VLOOKUP(H521,#REF!,3,FALSE)</f>
        <v>#REF!</v>
      </c>
      <c r="I539" s="749" t="e">
        <f>+VLOOKUP(I521,#REF!,3,FALSE)</f>
        <v>#REF!</v>
      </c>
      <c r="J539" s="751" t="e">
        <f>+VLOOKUP(J521,#REF!,3,FALSE)</f>
        <v>#REF!</v>
      </c>
      <c r="K539" s="35"/>
      <c r="L539" s="65"/>
    </row>
    <row r="540" spans="1:12">
      <c r="A540" s="423" t="s">
        <v>916</v>
      </c>
      <c r="B540" s="278"/>
      <c r="C540" s="313"/>
      <c r="D540" s="749" t="e">
        <f>+VLOOKUP(D521,#REF!,15,FALSE)</f>
        <v>#REF!</v>
      </c>
      <c r="E540" s="750" t="e">
        <f>+VLOOKUP(E521,#REF!,15,FALSE)</f>
        <v>#REF!</v>
      </c>
      <c r="F540" s="751" t="e">
        <f>+VLOOKUP(F521,#REF!,15,FALSE)</f>
        <v>#REF!</v>
      </c>
      <c r="G540" s="749" t="e">
        <f>+VLOOKUP(G521,#REF!,15,FALSE)</f>
        <v>#REF!</v>
      </c>
      <c r="H540" s="750" t="e">
        <f>+VLOOKUP(H521,#REF!,15,FALSE)</f>
        <v>#REF!</v>
      </c>
      <c r="I540" s="749" t="e">
        <f>+VLOOKUP(I521,#REF!,15,FALSE)</f>
        <v>#REF!</v>
      </c>
      <c r="J540" s="751" t="e">
        <f>+VLOOKUP(J521,#REF!,15,FALSE)</f>
        <v>#REF!</v>
      </c>
      <c r="K540" s="35"/>
      <c r="L540" s="65"/>
    </row>
    <row r="541" spans="1:12">
      <c r="A541" s="748" t="s">
        <v>671</v>
      </c>
      <c r="B541" s="278"/>
      <c r="C541" s="313"/>
      <c r="D541" s="749" t="e">
        <f>+VLOOKUP(D$521,#REF!,11,FALSE)</f>
        <v>#REF!</v>
      </c>
      <c r="E541" s="750" t="e">
        <f>+VLOOKUP(E$521,#REF!,11,FALSE)</f>
        <v>#REF!</v>
      </c>
      <c r="F541" s="751" t="e">
        <f>+VLOOKUP(F$521,#REF!,11,FALSE)</f>
        <v>#REF!</v>
      </c>
      <c r="G541" s="749">
        <v>0</v>
      </c>
      <c r="H541" s="750">
        <v>0</v>
      </c>
      <c r="I541" s="749">
        <v>0</v>
      </c>
      <c r="J541" s="751">
        <v>0</v>
      </c>
      <c r="K541" s="35"/>
      <c r="L541" s="65"/>
    </row>
    <row r="542" spans="1:12">
      <c r="A542" s="748" t="s">
        <v>691</v>
      </c>
      <c r="B542" s="278"/>
      <c r="C542" s="313"/>
      <c r="D542" s="749" t="e">
        <f>+VLOOKUP(D$521,#REF!,10,FALSE)</f>
        <v>#REF!</v>
      </c>
      <c r="E542" s="750" t="e">
        <f>+VLOOKUP(E$521,#REF!,10,FALSE)</f>
        <v>#REF!</v>
      </c>
      <c r="F542" s="751" t="e">
        <f>+VLOOKUP(F$521,#REF!,10,FALSE)</f>
        <v>#REF!</v>
      </c>
      <c r="G542" s="749">
        <v>0</v>
      </c>
      <c r="H542" s="750">
        <v>0</v>
      </c>
      <c r="I542" s="749">
        <v>0</v>
      </c>
      <c r="J542" s="751">
        <v>0</v>
      </c>
      <c r="K542" s="35"/>
      <c r="L542" s="65"/>
    </row>
    <row r="543" spans="1:12">
      <c r="A543" s="748" t="s">
        <v>970</v>
      </c>
      <c r="B543" s="278"/>
      <c r="C543" s="313"/>
      <c r="D543" s="760">
        <v>0.89</v>
      </c>
      <c r="E543" s="760">
        <v>0.89</v>
      </c>
      <c r="F543" s="760">
        <v>0.89</v>
      </c>
      <c r="G543" s="760">
        <v>2.76</v>
      </c>
      <c r="H543" s="760">
        <v>4.6500000000000004</v>
      </c>
      <c r="I543" s="760">
        <v>5.86</v>
      </c>
      <c r="J543" s="760">
        <v>6.53</v>
      </c>
      <c r="K543" s="35"/>
      <c r="L543" s="65"/>
    </row>
    <row r="544" spans="1:12">
      <c r="A544" s="748" t="s">
        <v>673</v>
      </c>
      <c r="B544" s="278"/>
      <c r="C544" s="313"/>
      <c r="D544" s="761">
        <v>39680</v>
      </c>
      <c r="E544" s="761">
        <v>39680</v>
      </c>
      <c r="F544" s="761">
        <v>39680</v>
      </c>
      <c r="G544" s="761">
        <v>40410</v>
      </c>
      <c r="H544" s="761">
        <v>40867</v>
      </c>
      <c r="I544" s="761">
        <v>41414</v>
      </c>
      <c r="J544" s="762">
        <v>41414</v>
      </c>
      <c r="K544" s="35"/>
      <c r="L544" s="65"/>
    </row>
    <row r="545" spans="1:12">
      <c r="A545" s="748" t="s">
        <v>674</v>
      </c>
      <c r="B545" s="278"/>
      <c r="C545" s="313"/>
      <c r="D545" s="762">
        <v>40867</v>
      </c>
      <c r="E545" s="762">
        <v>40867</v>
      </c>
      <c r="F545" s="762">
        <v>40867</v>
      </c>
      <c r="G545" s="762">
        <v>40867</v>
      </c>
      <c r="H545" s="762">
        <v>40867</v>
      </c>
      <c r="I545" s="762">
        <v>41414</v>
      </c>
      <c r="J545" s="762">
        <v>41414</v>
      </c>
      <c r="K545" s="35"/>
      <c r="L545" s="65"/>
    </row>
    <row r="546" spans="1:12">
      <c r="A546" s="748" t="s">
        <v>675</v>
      </c>
      <c r="B546" s="278"/>
      <c r="C546" s="313"/>
      <c r="D546" s="762">
        <v>48172</v>
      </c>
      <c r="E546" s="762">
        <v>48172</v>
      </c>
      <c r="F546" s="762">
        <v>48172</v>
      </c>
      <c r="G546" s="762">
        <v>57304</v>
      </c>
      <c r="H546" s="762">
        <v>57304</v>
      </c>
      <c r="I546" s="762">
        <v>57304</v>
      </c>
      <c r="J546" s="762">
        <v>57304</v>
      </c>
      <c r="K546" s="35"/>
      <c r="L546" s="65"/>
    </row>
    <row r="547" spans="1:12">
      <c r="A547" s="748"/>
      <c r="B547" s="278"/>
      <c r="C547" s="313"/>
      <c r="D547" s="762"/>
      <c r="E547" s="762"/>
      <c r="F547" s="762"/>
      <c r="G547" s="424"/>
      <c r="H547" s="439"/>
      <c r="I547" s="311"/>
      <c r="J547" s="424"/>
      <c r="K547" s="439"/>
      <c r="L547" s="65"/>
    </row>
    <row r="548" spans="1:12">
      <c r="A548" s="748"/>
      <c r="B548" s="278"/>
      <c r="C548" s="313"/>
      <c r="D548" s="763"/>
      <c r="E548" s="764"/>
      <c r="F548" s="764"/>
      <c r="G548" s="424"/>
      <c r="H548" s="311"/>
      <c r="I548" s="311"/>
      <c r="J548" s="424"/>
      <c r="K548" s="311"/>
      <c r="L548" s="65"/>
    </row>
    <row r="549" spans="1:12">
      <c r="A549" s="721"/>
      <c r="B549" s="278"/>
      <c r="C549" s="313"/>
      <c r="D549" s="765">
        <v>8</v>
      </c>
      <c r="E549" s="765">
        <v>9</v>
      </c>
      <c r="F549" s="765">
        <v>10</v>
      </c>
      <c r="G549" s="749"/>
      <c r="H549" s="750"/>
      <c r="I549" s="751"/>
      <c r="J549" s="749"/>
      <c r="K549" s="750"/>
      <c r="L549" s="766"/>
    </row>
    <row r="550" spans="1:12">
      <c r="A550" s="745"/>
      <c r="B550" s="278"/>
      <c r="C550" s="313"/>
      <c r="D550" s="746" t="s">
        <v>16</v>
      </c>
      <c r="E550" s="747" t="s">
        <v>17</v>
      </c>
      <c r="F550" s="732" t="s">
        <v>18</v>
      </c>
      <c r="G550" s="767" t="s">
        <v>19</v>
      </c>
      <c r="H550" s="768" t="s">
        <v>20</v>
      </c>
      <c r="I550" s="769" t="s">
        <v>21</v>
      </c>
      <c r="J550" s="767" t="s">
        <v>22</v>
      </c>
      <c r="K550" s="768" t="s">
        <v>26</v>
      </c>
      <c r="L550" s="770" t="s">
        <v>27</v>
      </c>
    </row>
    <row r="551" spans="1:12">
      <c r="A551" s="748" t="s">
        <v>399</v>
      </c>
      <c r="B551" s="278"/>
      <c r="C551" s="313"/>
      <c r="D551" s="424" t="s">
        <v>676</v>
      </c>
      <c r="E551" s="439" t="s">
        <v>677</v>
      </c>
      <c r="F551" s="311" t="s">
        <v>678</v>
      </c>
      <c r="G551" s="424" t="s">
        <v>679</v>
      </c>
      <c r="H551" s="439" t="s">
        <v>680</v>
      </c>
      <c r="I551" s="311" t="s">
        <v>681</v>
      </c>
      <c r="J551" s="424" t="s">
        <v>682</v>
      </c>
      <c r="K551" s="439" t="s">
        <v>683</v>
      </c>
      <c r="L551" s="443" t="s">
        <v>684</v>
      </c>
    </row>
    <row r="552" spans="1:12">
      <c r="A552" s="748" t="s">
        <v>407</v>
      </c>
      <c r="B552" s="771"/>
      <c r="C552" s="313"/>
      <c r="D552" s="424" t="s">
        <v>685</v>
      </c>
      <c r="E552" s="311">
        <v>27384137</v>
      </c>
      <c r="F552" s="311">
        <v>27384153</v>
      </c>
      <c r="G552" s="424" t="s">
        <v>686</v>
      </c>
      <c r="H552" s="311">
        <v>27384269</v>
      </c>
      <c r="I552" s="311">
        <v>27384331</v>
      </c>
      <c r="J552" s="424" t="s">
        <v>687</v>
      </c>
      <c r="K552" s="311">
        <v>27384412</v>
      </c>
      <c r="L552" s="443">
        <v>27384536</v>
      </c>
    </row>
    <row r="553" spans="1:12">
      <c r="A553" s="748" t="s">
        <v>658</v>
      </c>
      <c r="B553" s="278"/>
      <c r="C553" s="313"/>
      <c r="D553" s="749">
        <v>84500000</v>
      </c>
      <c r="E553" s="750">
        <v>167000000</v>
      </c>
      <c r="F553" s="751">
        <v>23000000</v>
      </c>
      <c r="G553" s="749">
        <v>74500000</v>
      </c>
      <c r="H553" s="750">
        <v>91000000</v>
      </c>
      <c r="I553" s="751">
        <v>56000000</v>
      </c>
      <c r="J553" s="749">
        <v>70000000</v>
      </c>
      <c r="K553" s="750">
        <v>211000000</v>
      </c>
      <c r="L553" s="772">
        <v>20000000</v>
      </c>
    </row>
    <row r="554" spans="1:12">
      <c r="A554" s="748" t="s">
        <v>659</v>
      </c>
      <c r="B554" s="278"/>
      <c r="C554" s="313"/>
      <c r="D554" s="749" t="e">
        <f>+VLOOKUP($B$9,'GMF 2 CCY Amortisation'!$CT$3:$DJ$85,9,FALSE)</f>
        <v>#REF!</v>
      </c>
      <c r="E554" s="750" t="e">
        <f>+VLOOKUP($B$9,'GMF 2 CCY Amortisation'!$CT$10:$DJ$85,10,FALSE)</f>
        <v>#REF!</v>
      </c>
      <c r="F554" s="751" t="e">
        <f>+VLOOKUP($B$9,'GMF 2 CCY Amortisation'!$CT$3:$DJ$85,F549+1,FALSE)</f>
        <v>#REF!</v>
      </c>
      <c r="G554" s="749" t="e">
        <f>+VLOOKUP($B$9,'GMF 2 CCY Amortisation'!$CT$3:$DJ$812,12,FALSE)</f>
        <v>#REF!</v>
      </c>
      <c r="H554" s="750" t="e">
        <f>+VLOOKUP($B$9,'GMF 2 CCY Amortisation'!$CT$3:$DJ$85,13,FALSE)</f>
        <v>#REF!</v>
      </c>
      <c r="I554" s="753" t="e">
        <f>+VLOOKUP($B$9,'GMF 2 CCY Amortisation'!$CT$3:$DJ$85,14,FALSE)</f>
        <v>#REF!</v>
      </c>
      <c r="J554" s="749" t="e">
        <f>+VLOOKUP($B$9,'GMF 2 CCY Amortisation'!$CT$3:$DJ$155,15,FALSE)</f>
        <v>#REF!</v>
      </c>
      <c r="K554" s="750" t="e">
        <f>+VLOOKUP($B$9,'GMF 2 CCY Amortisation'!$CT$3:$DJ$85,16,FALSE)</f>
        <v>#REF!</v>
      </c>
      <c r="L554" s="773" t="e">
        <f>+VLOOKUP($B$9,'GMF 2 CCY Amortisation'!$CT$3:$DJ$85,17,FALSE)</f>
        <v>#REF!</v>
      </c>
    </row>
    <row r="555" spans="1:12">
      <c r="A555" s="748" t="s">
        <v>917</v>
      </c>
      <c r="B555" s="278"/>
      <c r="C555" s="313"/>
      <c r="D555" s="749" t="e">
        <f>+VLOOKUP($D$9,'GMF 2 CCY Amortisation'!$AR$3:$BH$85,9,FALSE)</f>
        <v>#REF!</v>
      </c>
      <c r="E555" s="754" t="e">
        <f>+VLOOKUP($D$9,'GMF 2 CCY Amortisation'!$AR$10:$BH$85,10,FALSE)</f>
        <v>#REF!</v>
      </c>
      <c r="F555" s="751" t="e">
        <f>+VLOOKUP($D$9,'GMF 2 CCY Amortisation'!$AR$3:$BH$85,F549+1,FALSE)</f>
        <v>#REF!</v>
      </c>
      <c r="G555" s="749" t="e">
        <f>+VLOOKUP($D$9,'GMF 2 CCY Amortisation'!$AR$3:$BH$812,12,FALSE)</f>
        <v>#REF!</v>
      </c>
      <c r="H555" s="750" t="e">
        <f>+VLOOKUP($D$9,'GMF 2 CCY Amortisation'!$AR$3:$BH$85,13,FALSE)</f>
        <v>#REF!</v>
      </c>
      <c r="I555" s="753" t="e">
        <f>+VLOOKUP($D$9,'GMF 2 CCY Amortisation'!$AR$3:$BH$85,14,FALSE)</f>
        <v>#REF!</v>
      </c>
      <c r="J555" s="749" t="e">
        <f>+VLOOKUP($D$9,'GMF 2 CCY Amortisation'!$AR$3:$BH$155,15,FALSE)</f>
        <v>#REF!</v>
      </c>
      <c r="K555" s="750" t="e">
        <f>+VLOOKUP($D$9,'GMF 2 CCY Amortisation'!$AR$3:$BH$85,16,FALSE)</f>
        <v>#REF!</v>
      </c>
      <c r="L555" s="773" t="e">
        <f>+VLOOKUP($D$9,'GMF 2 CCY Amortisation'!$AR$3:$BH$85,17,FALSE)</f>
        <v>#REF!</v>
      </c>
    </row>
    <row r="556" spans="1:12">
      <c r="A556" s="748" t="s">
        <v>660</v>
      </c>
      <c r="B556" s="278"/>
      <c r="C556" s="313"/>
      <c r="D556" s="749" t="e">
        <f>+VLOOKUP($D$9,'GMF 2 CCY Amortisation'!$CT$3:$DJ$85,9,FALSE)</f>
        <v>#REF!</v>
      </c>
      <c r="E556" s="750" t="e">
        <f>+VLOOKUP($D$9,'GMF 2 CCY Amortisation'!$CT$10:$DJ$85,10,FALSE)</f>
        <v>#REF!</v>
      </c>
      <c r="F556" s="751" t="e">
        <f>+VLOOKUP($D$9,'GMF 2 CCY Amortisation'!$CT$3:$DJ$85,F$549+1,FALSE)</f>
        <v>#REF!</v>
      </c>
      <c r="G556" s="749" t="e">
        <f>+VLOOKUP($D$9,'GMF 2 CCY Amortisation'!$CT$3:$DJ$812,12,FALSE)</f>
        <v>#REF!</v>
      </c>
      <c r="H556" s="750" t="e">
        <f>+VLOOKUP($D$9,'GMF 2 CCY Amortisation'!$CT$3:$DJ$85,13,FALSE)</f>
        <v>#REF!</v>
      </c>
      <c r="I556" s="753" t="e">
        <f>+VLOOKUP($D$9,'GMF 2 CCY Amortisation'!$CT$3:$DJ$85,14,FALSE)</f>
        <v>#REF!</v>
      </c>
      <c r="J556" s="749" t="e">
        <f>+VLOOKUP($D$9,'GMF 2 CCY Amortisation'!$CT$3:$DJ$155,15,FALSE)</f>
        <v>#REF!</v>
      </c>
      <c r="K556" s="750" t="e">
        <f>+VLOOKUP($D$9,'GMF 2 CCY Amortisation'!$CT$3:$DJ$85,16,FALSE)</f>
        <v>#REF!</v>
      </c>
      <c r="L556" s="773" t="e">
        <f>+VLOOKUP($D$9,'GMF 2 CCY Amortisation'!$CT$3:$DJ$85,17,FALSE)</f>
        <v>#REF!</v>
      </c>
    </row>
    <row r="557" spans="1:12">
      <c r="A557" s="748" t="s">
        <v>393</v>
      </c>
      <c r="B557" s="278"/>
      <c r="C557" s="313"/>
      <c r="D557" s="756" t="e">
        <f>#REF!</f>
        <v>#REF!</v>
      </c>
      <c r="E557" s="756" t="e">
        <f>#REF!</f>
        <v>#REF!</v>
      </c>
      <c r="F557" s="756" t="e">
        <f>#REF!</f>
        <v>#REF!</v>
      </c>
      <c r="G557" s="756" t="e">
        <f>#REF!</f>
        <v>#REF!</v>
      </c>
      <c r="H557" s="756" t="e">
        <f>#REF!</f>
        <v>#REF!</v>
      </c>
      <c r="I557" s="756" t="e">
        <f>#REF!</f>
        <v>#REF!</v>
      </c>
      <c r="J557" s="756" t="e">
        <f>#REF!</f>
        <v>#REF!</v>
      </c>
      <c r="K557" s="756" t="e">
        <f>#REF!</f>
        <v>#REF!</v>
      </c>
      <c r="L557" s="774" t="e">
        <f>#REF!</f>
        <v>#REF!</v>
      </c>
    </row>
    <row r="558" spans="1:12">
      <c r="A558" s="748" t="s">
        <v>394</v>
      </c>
      <c r="B558" s="278"/>
      <c r="C558" s="313"/>
      <c r="D558" s="756" t="e">
        <f>#REF!</f>
        <v>#REF!</v>
      </c>
      <c r="E558" s="756" t="e">
        <f>#REF!</f>
        <v>#REF!</v>
      </c>
      <c r="F558" s="756" t="e">
        <f>#REF!</f>
        <v>#REF!</v>
      </c>
      <c r="G558" s="756" t="e">
        <f>#REF!</f>
        <v>#REF!</v>
      </c>
      <c r="H558" s="756" t="e">
        <f>#REF!</f>
        <v>#REF!</v>
      </c>
      <c r="I558" s="756" t="e">
        <f>#REF!</f>
        <v>#REF!</v>
      </c>
      <c r="J558" s="756" t="e">
        <f>#REF!</f>
        <v>#REF!</v>
      </c>
      <c r="K558" s="756" t="e">
        <f>#REF!</f>
        <v>#REF!</v>
      </c>
      <c r="L558" s="774" t="e">
        <f>#REF!</f>
        <v>#REF!</v>
      </c>
    </row>
    <row r="559" spans="1:12">
      <c r="A559" s="748" t="s">
        <v>661</v>
      </c>
      <c r="B559" s="278"/>
      <c r="C559" s="313"/>
      <c r="D559" s="757" t="e">
        <f>+VLOOKUP($D$9,'GMF 2 CCY Amortisation'!$S$3:$AH$85,9,FALSE)</f>
        <v>#REF!</v>
      </c>
      <c r="E559" s="750" t="e">
        <f>+VLOOKUP($D$9,'GMF 2 CCY Amortisation'!$S$10:$AH$85,10,FALSE)</f>
        <v>#REF!</v>
      </c>
      <c r="F559" s="758" t="e">
        <f>+VLOOKUP($D$9,'GMF 2 CCY Amortisation'!$S$3:$AH$85,11,FALSE)</f>
        <v>#REF!</v>
      </c>
      <c r="G559" s="757" t="e">
        <f>+VLOOKUP($D$9,'GMF 2 CCY Amortisation'!$S$3:$AH$812,12,FALSE)</f>
        <v>#REF!</v>
      </c>
      <c r="H559" s="750" t="e">
        <f>+VLOOKUP($D$9,'GMF 2 CCY Amortisation'!$S$3:$AH$85,13,FALSE)</f>
        <v>#REF!</v>
      </c>
      <c r="I559" s="758" t="e">
        <f>+VLOOKUP($D$9,'GMF 2 CCY Amortisation'!$S$3:$AH$85,14,FALSE)</f>
        <v>#REF!</v>
      </c>
      <c r="J559" s="757" t="e">
        <f>+VLOOKUP($D$9,'GMF 2 CCY Amortisation'!$S$3:$AH$85,15,FALSE)</f>
        <v>#REF!</v>
      </c>
      <c r="K559" s="750" t="e">
        <f>+VLOOKUP($D$9,'GMF 2 CCY Amortisation'!$S$3:$AH$85,16,FALSE)</f>
        <v>#REF!</v>
      </c>
      <c r="L559" s="775">
        <v>0</v>
      </c>
    </row>
    <row r="560" spans="1:12">
      <c r="A560" s="748" t="s">
        <v>662</v>
      </c>
      <c r="B560" s="278"/>
      <c r="C560" s="313"/>
      <c r="D560" s="757" t="e">
        <f>+VLOOKUP($D$9,'GMF 2 CCY Amortisation'!$A$3:$Q$85,9,FALSE)</f>
        <v>#REF!</v>
      </c>
      <c r="E560" s="750" t="e">
        <f>+VLOOKUP($D$9,'GMF 2 CCY Amortisation'!$A$10:$Q$85,10,FALSE)</f>
        <v>#REF!</v>
      </c>
      <c r="F560" s="758" t="e">
        <f>+VLOOKUP($D$9,'GMF 2 CCY Amortisation'!$A$3:$Q$85,11,FALSE)</f>
        <v>#REF!</v>
      </c>
      <c r="G560" s="757" t="e">
        <f>+VLOOKUP($D$9,'GMF 2 CCY Amortisation'!$A$3:$Q$812,12,FALSE)</f>
        <v>#REF!</v>
      </c>
      <c r="H560" s="750" t="e">
        <f>+VLOOKUP($D$9,'GMF 2 CCY Amortisation'!$A$3:$Q$85,13,FALSE)</f>
        <v>#REF!</v>
      </c>
      <c r="I560" s="758" t="e">
        <f>+VLOOKUP($D$9,'GMF 2 CCY Amortisation'!$A$3:$Q$85,14,FALSE)</f>
        <v>#REF!</v>
      </c>
      <c r="J560" s="757" t="e">
        <f>+VLOOKUP($D$9,'GMF 2 CCY Amortisation'!$A$3:$Q$85,15,FALSE)</f>
        <v>#REF!</v>
      </c>
      <c r="K560" s="750" t="e">
        <f>+VLOOKUP($D$9,'GMF 2 CCY Amortisation'!$A$3:$Q$85,16,FALSE)</f>
        <v>#REF!</v>
      </c>
      <c r="L560" s="775" t="e">
        <f>+VLOOKUP($D$9,'GMF 2 CCY Amortisation'!$A$3:$Q$85,17,FALSE)</f>
        <v>#REF!</v>
      </c>
    </row>
    <row r="561" spans="1:40">
      <c r="A561" s="748" t="s">
        <v>663</v>
      </c>
      <c r="B561" s="278"/>
      <c r="C561" s="313"/>
      <c r="D561" s="757" t="e">
        <f>+VLOOKUP($D$9,'GMF 2 CCY Amortisation'!$BJ$3:$BZ$85,9,FALSE)</f>
        <v>#REF!</v>
      </c>
      <c r="E561" s="750" t="e">
        <f>+VLOOKUP($D$9,'GMF 2 CCY Amortisation'!$BJ$10:$BZ$85,10,FALSE)</f>
        <v>#REF!</v>
      </c>
      <c r="F561" s="758" t="e">
        <f>+VLOOKUP($D$9,'GMF 2 CCY Amortisation'!$BJ$3:$BZ$85,11,FALSE)</f>
        <v>#REF!</v>
      </c>
      <c r="G561" s="757" t="e">
        <f>+VLOOKUP($D$9,'GMF 2 CCY Amortisation'!$BJ$3:$BZ$812,12,FALSE)</f>
        <v>#REF!</v>
      </c>
      <c r="H561" s="750" t="e">
        <f>+VLOOKUP($D$9,'GMF 2 CCY Amortisation'!$BJ$3:$BZ$85,13,FALSE)</f>
        <v>#REF!</v>
      </c>
      <c r="I561" s="758" t="e">
        <f>+VLOOKUP($D$9,'GMF 2 CCY Amortisation'!$BJ$3:$BZ$85,14,FALSE)</f>
        <v>#REF!</v>
      </c>
      <c r="J561" s="757" t="e">
        <f>+VLOOKUP($D$9,'GMF 2 CCY Amortisation'!$BJ$3:$BZ$85,15,FALSE)</f>
        <v>#REF!</v>
      </c>
      <c r="K561" s="750" t="e">
        <f>+VLOOKUP($D$9,'GMF 2 CCY Amortisation'!$BJ$3:$BZ$85,16,FALSE)</f>
        <v>#REF!</v>
      </c>
      <c r="L561" s="775" t="e">
        <f>+VLOOKUP($D$9,'GMF 2 CCY Amortisation'!$BJ$3:$BZ$85,17,FALSE)</f>
        <v>#REF!</v>
      </c>
    </row>
    <row r="562" spans="1:40">
      <c r="A562" s="1506" t="s">
        <v>119</v>
      </c>
      <c r="B562" s="1507"/>
      <c r="C562" s="1507"/>
      <c r="D562" s="757" t="e">
        <f>+VLOOKUP($D$9,'GMF 2 CCY Amortisation'!$CA$3:$CR$85,9,FALSE)</f>
        <v>#REF!</v>
      </c>
      <c r="E562" s="750" t="e">
        <f>+VLOOKUP($D$9,'GMF 2 CCY Amortisation'!$CA$10:$CR$85,10,FALSE)</f>
        <v>#REF!</v>
      </c>
      <c r="F562" s="758" t="e">
        <f>+VLOOKUP($D$9,'GMF 2 CCY Amortisation'!$CA$3:$CR$85,11,FALSE)</f>
        <v>#REF!</v>
      </c>
      <c r="G562" s="757" t="e">
        <f>+VLOOKUP($D$9,'GMF 2 CCY Amortisation'!$CA$3:$CR$812,12,FALSE)</f>
        <v>#REF!</v>
      </c>
      <c r="H562" s="750" t="e">
        <f>+VLOOKUP($D$9,'GMF 2 CCY Amortisation'!$CA$3:$CR$85,13,FALSE)</f>
        <v>#REF!</v>
      </c>
      <c r="I562" s="758" t="e">
        <f>+VLOOKUP($D$9,'GMF 2 CCY Amortisation'!$CA$3:$CR$85,14,FALSE)</f>
        <v>#REF!</v>
      </c>
      <c r="J562" s="757" t="e">
        <f>+VLOOKUP($D$9,'GMF 2 CCY Amortisation'!$CA$3:$CR$85,15,FALSE)</f>
        <v>#REF!</v>
      </c>
      <c r="K562" s="750" t="e">
        <f>+VLOOKUP($D$9,'GMF 2 CCY Amortisation'!$CA$3:$CR$85,16,FALSE)</f>
        <v>#REF!</v>
      </c>
      <c r="L562" s="775" t="e">
        <f>+VLOOKUP($D$9,'GMF 2 CCY Amortisation'!$CA$3:$CR$85,17,FALSE)</f>
        <v>#REF!</v>
      </c>
    </row>
    <row r="563" spans="1:40">
      <c r="A563" s="748" t="s">
        <v>740</v>
      </c>
      <c r="B563" s="278"/>
      <c r="C563" s="313"/>
      <c r="D563" s="311" t="s">
        <v>688</v>
      </c>
      <c r="E563" s="311" t="s">
        <v>688</v>
      </c>
      <c r="F563" s="311" t="s">
        <v>688</v>
      </c>
      <c r="G563" s="311" t="s">
        <v>689</v>
      </c>
      <c r="H563" s="311" t="s">
        <v>689</v>
      </c>
      <c r="I563" s="311" t="s">
        <v>689</v>
      </c>
      <c r="J563" s="311" t="s">
        <v>690</v>
      </c>
      <c r="K563" s="311" t="s">
        <v>690</v>
      </c>
      <c r="L563" s="443" t="s">
        <v>690</v>
      </c>
    </row>
    <row r="564" spans="1:40">
      <c r="A564" s="748" t="s">
        <v>665</v>
      </c>
      <c r="B564" s="278"/>
      <c r="C564" s="313"/>
      <c r="D564" s="312" t="s">
        <v>666</v>
      </c>
      <c r="E564" s="312" t="s">
        <v>667</v>
      </c>
      <c r="F564" s="312" t="s">
        <v>668</v>
      </c>
      <c r="G564" s="312" t="s">
        <v>666</v>
      </c>
      <c r="H564" s="312" t="s">
        <v>667</v>
      </c>
      <c r="I564" s="312" t="s">
        <v>668</v>
      </c>
      <c r="J564" s="312" t="s">
        <v>666</v>
      </c>
      <c r="K564" s="312" t="s">
        <v>667</v>
      </c>
      <c r="L564" s="776" t="s">
        <v>668</v>
      </c>
    </row>
    <row r="565" spans="1:40">
      <c r="A565" s="748" t="s">
        <v>669</v>
      </c>
      <c r="B565" s="278"/>
      <c r="C565" s="313"/>
      <c r="D565" s="759" t="e">
        <f>#REF!</f>
        <v>#REF!</v>
      </c>
      <c r="E565" s="759" t="e">
        <f>#REF!</f>
        <v>#REF!</v>
      </c>
      <c r="F565" s="759" t="e">
        <f>#REF!</f>
        <v>#REF!</v>
      </c>
      <c r="G565" s="759" t="e">
        <f>#REF!</f>
        <v>#REF!</v>
      </c>
      <c r="H565" s="759" t="e">
        <f>#REF!</f>
        <v>#REF!</v>
      </c>
      <c r="I565" s="759" t="e">
        <f>#REF!</f>
        <v>#REF!</v>
      </c>
      <c r="J565" s="759" t="e">
        <f>#REF!</f>
        <v>#REF!</v>
      </c>
      <c r="K565" s="759" t="e">
        <f>#REF!</f>
        <v>#REF!</v>
      </c>
      <c r="L565" s="777" t="e">
        <f>#REF!</f>
        <v>#REF!</v>
      </c>
    </row>
    <row r="566" spans="1:40">
      <c r="A566" s="748" t="s">
        <v>670</v>
      </c>
      <c r="B566" s="278"/>
      <c r="C566" s="313"/>
      <c r="D566" s="759" t="e">
        <f>+VLOOKUP(D550,#REF!,6,FALSE)</f>
        <v>#REF!</v>
      </c>
      <c r="E566" s="759" t="e">
        <f>+VLOOKUP(E550,#REF!,6,FALSE)</f>
        <v>#REF!</v>
      </c>
      <c r="F566" s="759" t="e">
        <f>+VLOOKUP(F550,#REF!,6,FALSE)</f>
        <v>#REF!</v>
      </c>
      <c r="G566" s="759" t="e">
        <f>+VLOOKUP(G550,#REF!,6,FALSE)</f>
        <v>#REF!</v>
      </c>
      <c r="H566" s="759" t="e">
        <f>+VLOOKUP(H550,#REF!,6,FALSE)</f>
        <v>#REF!</v>
      </c>
      <c r="I566" s="759" t="e">
        <f>+VLOOKUP(I550,#REF!,6,FALSE)</f>
        <v>#REF!</v>
      </c>
      <c r="J566" s="759" t="e">
        <f>+VLOOKUP(J550,#REF!,6,FALSE)</f>
        <v>#REF!</v>
      </c>
      <c r="K566" s="759" t="e">
        <f>+VLOOKUP(K550,#REF!,6,FALSE)</f>
        <v>#REF!</v>
      </c>
      <c r="L566" s="777" t="e">
        <f>+VLOOKUP(L550,#REF!,6,FALSE)</f>
        <v>#REF!</v>
      </c>
    </row>
    <row r="567" spans="1:40">
      <c r="A567" s="748" t="s">
        <v>918</v>
      </c>
      <c r="B567" s="278"/>
      <c r="C567" s="313"/>
      <c r="D567" s="749" t="e">
        <f>+VLOOKUP(D550,#REF!,3,FALSE)</f>
        <v>#REF!</v>
      </c>
      <c r="E567" s="750" t="e">
        <f>+VLOOKUP(E550,#REF!,3,FALSE)</f>
        <v>#REF!</v>
      </c>
      <c r="F567" s="751" t="e">
        <f>+VLOOKUP(F550,#REF!,3,FALSE)</f>
        <v>#REF!</v>
      </c>
      <c r="G567" s="749" t="e">
        <f>+VLOOKUP(G550,#REF!,3,FALSE)</f>
        <v>#REF!</v>
      </c>
      <c r="H567" s="750" t="e">
        <f>+VLOOKUP(H550,#REF!,3,FALSE)</f>
        <v>#REF!</v>
      </c>
      <c r="I567" s="751" t="e">
        <f>+VLOOKUP(I550,#REF!,3,FALSE)</f>
        <v>#REF!</v>
      </c>
      <c r="J567" s="749" t="e">
        <f>+VLOOKUP(J550,#REF!,3,FALSE)</f>
        <v>#REF!</v>
      </c>
      <c r="K567" s="750" t="e">
        <f>+VLOOKUP(K550,#REF!,3,FALSE)</f>
        <v>#REF!</v>
      </c>
      <c r="L567" s="772" t="e">
        <f>+VLOOKUP(L550,#REF!,3,FALSE)</f>
        <v>#REF!</v>
      </c>
    </row>
    <row r="568" spans="1:40">
      <c r="A568" s="423" t="s">
        <v>916</v>
      </c>
      <c r="B568" s="278"/>
      <c r="C568" s="313"/>
      <c r="D568" s="749" t="e">
        <f>+VLOOKUP(D550,#REF!,15,FALSE)</f>
        <v>#REF!</v>
      </c>
      <c r="E568" s="750" t="e">
        <f>+VLOOKUP(E550,#REF!,15,FALSE)</f>
        <v>#REF!</v>
      </c>
      <c r="F568" s="751" t="e">
        <f>+VLOOKUP(F550,#REF!,15,FALSE)</f>
        <v>#REF!</v>
      </c>
      <c r="G568" s="749" t="e">
        <f>+VLOOKUP(G550,#REF!,15,FALSE)</f>
        <v>#REF!</v>
      </c>
      <c r="H568" s="750" t="e">
        <f>+VLOOKUP(H550,#REF!,15,FALSE)</f>
        <v>#REF!</v>
      </c>
      <c r="I568" s="751" t="e">
        <f>+VLOOKUP(I550,#REF!,15,FALSE)</f>
        <v>#REF!</v>
      </c>
      <c r="J568" s="749" t="e">
        <f>+VLOOKUP(J550,#REF!,15,FALSE)</f>
        <v>#REF!</v>
      </c>
      <c r="K568" s="750" t="e">
        <f>+VLOOKUP(K550,#REF!,15,FALSE)</f>
        <v>#REF!</v>
      </c>
      <c r="L568" s="772" t="e">
        <f>+VLOOKUP(L550,#REF!,15,FALSE)</f>
        <v>#REF!</v>
      </c>
    </row>
    <row r="569" spans="1:40">
      <c r="A569" s="748" t="s">
        <v>671</v>
      </c>
      <c r="B569" s="278"/>
      <c r="C569" s="313"/>
      <c r="D569" s="749" t="e">
        <f>+VLOOKUP(D$550,#REF!,11,FALSE)</f>
        <v>#REF!</v>
      </c>
      <c r="E569" s="750" t="e">
        <f>+VLOOKUP(E$550,#REF!,11,FALSE)</f>
        <v>#REF!</v>
      </c>
      <c r="F569" s="751" t="e">
        <f>+VLOOKUP(F$550,#REF!,11,FALSE)</f>
        <v>#REF!</v>
      </c>
      <c r="G569" s="749">
        <v>0</v>
      </c>
      <c r="H569" s="750">
        <v>0</v>
      </c>
      <c r="I569" s="751">
        <v>0</v>
      </c>
      <c r="J569" s="749" t="e">
        <f>J567-J568</f>
        <v>#REF!</v>
      </c>
      <c r="K569" s="750" t="e">
        <f>K567-K568</f>
        <v>#REF!</v>
      </c>
      <c r="L569" s="772" t="e">
        <f>L567-L568</f>
        <v>#REF!</v>
      </c>
    </row>
    <row r="570" spans="1:40">
      <c r="A570" s="748" t="s">
        <v>691</v>
      </c>
      <c r="B570" s="278"/>
      <c r="C570" s="313"/>
      <c r="D570" s="749" t="e">
        <f>+VLOOKUP(D$550,#REF!,11,FALSE)</f>
        <v>#REF!</v>
      </c>
      <c r="E570" s="750" t="e">
        <f>+VLOOKUP(E$550,#REF!,11,FALSE)</f>
        <v>#REF!</v>
      </c>
      <c r="F570" s="751" t="e">
        <f>+VLOOKUP(F$550,#REF!,11,FALSE)</f>
        <v>#REF!</v>
      </c>
      <c r="G570" s="749">
        <v>0</v>
      </c>
      <c r="H570" s="750">
        <v>0</v>
      </c>
      <c r="I570" s="751">
        <v>0</v>
      </c>
      <c r="J570" s="749" t="e">
        <f>+VLOOKUP(J550,#REF!,11,FALSE)</f>
        <v>#REF!</v>
      </c>
      <c r="K570" s="750" t="e">
        <f>+VLOOKUP(K550,#REF!,11,FALSE)</f>
        <v>#REF!</v>
      </c>
      <c r="L570" s="772" t="e">
        <f>+VLOOKUP(L550,#REF!,11,FALSE)</f>
        <v>#REF!</v>
      </c>
    </row>
    <row r="571" spans="1:40">
      <c r="A571" s="748" t="s">
        <v>672</v>
      </c>
      <c r="B571" s="278"/>
      <c r="C571" s="313"/>
      <c r="D571" s="424">
        <v>1.78</v>
      </c>
      <c r="E571" s="424">
        <v>5.03</v>
      </c>
      <c r="F571" s="424">
        <v>5.03</v>
      </c>
      <c r="G571" s="424">
        <v>1.78</v>
      </c>
      <c r="H571" s="424">
        <v>5.03</v>
      </c>
      <c r="I571" s="424">
        <v>5.03</v>
      </c>
      <c r="J571" s="424">
        <v>5.03</v>
      </c>
      <c r="K571" s="424">
        <v>5.03</v>
      </c>
      <c r="L571" s="442">
        <v>5.03</v>
      </c>
    </row>
    <row r="572" spans="1:40">
      <c r="A572" s="748" t="s">
        <v>673</v>
      </c>
      <c r="B572" s="278"/>
      <c r="C572" s="313"/>
      <c r="D572" s="761">
        <v>39680</v>
      </c>
      <c r="E572" s="762">
        <v>40867</v>
      </c>
      <c r="F572" s="762">
        <v>40867</v>
      </c>
      <c r="G572" s="761">
        <v>39680</v>
      </c>
      <c r="H572" s="762">
        <v>40867</v>
      </c>
      <c r="I572" s="762">
        <v>40867</v>
      </c>
      <c r="J572" s="762">
        <v>40867</v>
      </c>
      <c r="K572" s="762">
        <v>40867</v>
      </c>
      <c r="L572" s="766">
        <v>40867</v>
      </c>
      <c r="M572" s="778"/>
      <c r="N572" s="778"/>
      <c r="O572" s="778"/>
      <c r="P572" s="779"/>
      <c r="Q572" s="778"/>
      <c r="R572" s="778"/>
      <c r="S572" s="778"/>
      <c r="T572" s="778"/>
      <c r="U572" s="778"/>
      <c r="V572" s="778"/>
      <c r="W572" s="778"/>
      <c r="X572" s="778"/>
      <c r="Y572" s="778"/>
      <c r="Z572" s="779"/>
      <c r="AA572" s="778"/>
      <c r="AB572" s="778"/>
      <c r="AC572" s="778"/>
      <c r="AD572" s="778"/>
      <c r="AE572" s="778"/>
      <c r="AF572" s="778"/>
      <c r="AG572" s="778"/>
      <c r="AH572" s="778"/>
      <c r="AI572" s="778"/>
      <c r="AJ572" s="778"/>
    </row>
    <row r="573" spans="1:40">
      <c r="A573" s="748" t="s">
        <v>674</v>
      </c>
      <c r="B573" s="278"/>
      <c r="C573" s="313"/>
      <c r="D573" s="762">
        <v>40867</v>
      </c>
      <c r="E573" s="762">
        <v>40867</v>
      </c>
      <c r="F573" s="762">
        <v>40867</v>
      </c>
      <c r="G573" s="762">
        <v>40867</v>
      </c>
      <c r="H573" s="762">
        <v>40867</v>
      </c>
      <c r="I573" s="762">
        <v>40867</v>
      </c>
      <c r="J573" s="762">
        <v>40867</v>
      </c>
      <c r="K573" s="762">
        <v>40867</v>
      </c>
      <c r="L573" s="766">
        <v>40867</v>
      </c>
      <c r="M573" s="122"/>
      <c r="N573" s="122"/>
      <c r="O573" s="122"/>
      <c r="P573" s="122"/>
      <c r="Q573" s="122"/>
      <c r="R573" s="122"/>
      <c r="S573" s="122"/>
      <c r="T573" s="122"/>
      <c r="U573" s="122"/>
      <c r="V573" s="122"/>
      <c r="W573" s="122"/>
      <c r="X573" s="122"/>
      <c r="Y573" s="122"/>
      <c r="Z573" s="122"/>
      <c r="AA573" s="122"/>
      <c r="AB573" s="122"/>
      <c r="AC573" s="122"/>
      <c r="AD573" s="122"/>
      <c r="AE573" s="122"/>
      <c r="AF573" s="122"/>
      <c r="AG573" s="122"/>
      <c r="AH573" s="122"/>
      <c r="AI573" s="122"/>
      <c r="AJ573" s="122"/>
      <c r="AK573" s="121"/>
      <c r="AL573" s="121"/>
      <c r="AM573" s="121"/>
      <c r="AN573" s="121"/>
    </row>
    <row r="574" spans="1:40">
      <c r="A574" s="748" t="s">
        <v>675</v>
      </c>
      <c r="B574" s="278"/>
      <c r="C574" s="313"/>
      <c r="D574" s="762">
        <v>57304</v>
      </c>
      <c r="E574" s="762">
        <v>57304</v>
      </c>
      <c r="F574" s="762">
        <v>57304</v>
      </c>
      <c r="G574" s="762">
        <v>57304</v>
      </c>
      <c r="H574" s="762">
        <v>57304</v>
      </c>
      <c r="I574" s="762">
        <v>57304</v>
      </c>
      <c r="J574" s="762">
        <v>57304</v>
      </c>
      <c r="K574" s="762">
        <v>57304</v>
      </c>
      <c r="L574" s="766">
        <v>57304</v>
      </c>
      <c r="M574" s="123"/>
      <c r="N574" s="123"/>
      <c r="O574" s="123"/>
      <c r="P574" s="123"/>
      <c r="Q574" s="123"/>
      <c r="R574" s="123"/>
      <c r="S574" s="123"/>
      <c r="T574" s="123"/>
      <c r="U574" s="123"/>
      <c r="V574" s="123"/>
      <c r="W574" s="123"/>
      <c r="X574" s="123"/>
      <c r="Y574" s="123"/>
      <c r="Z574" s="123"/>
      <c r="AA574" s="123"/>
      <c r="AB574" s="123"/>
      <c r="AC574" s="123"/>
      <c r="AD574" s="123"/>
      <c r="AE574" s="123"/>
      <c r="AF574" s="123"/>
      <c r="AG574" s="123"/>
      <c r="AH574" s="123"/>
      <c r="AI574" s="123"/>
      <c r="AJ574" s="123"/>
      <c r="AK574" s="121"/>
      <c r="AL574" s="121"/>
      <c r="AM574" s="121"/>
      <c r="AN574" s="121"/>
    </row>
    <row r="575" spans="1:40">
      <c r="A575" s="506"/>
      <c r="B575" s="426"/>
      <c r="C575" s="427"/>
      <c r="D575" s="426"/>
      <c r="E575" s="427"/>
      <c r="F575" s="89"/>
      <c r="G575" s="521"/>
      <c r="H575" s="520"/>
      <c r="I575" s="780"/>
      <c r="J575" s="521"/>
      <c r="K575" s="521"/>
      <c r="L575" s="781"/>
    </row>
    <row r="576" spans="1:40">
      <c r="A576" s="284"/>
      <c r="C576" s="782"/>
      <c r="G576" s="311"/>
      <c r="H576" s="311"/>
      <c r="I576" s="311"/>
      <c r="J576" s="783"/>
      <c r="K576" s="311"/>
      <c r="L576" s="730"/>
    </row>
    <row r="577" spans="1:12">
      <c r="A577" s="337"/>
      <c r="D577" s="339">
        <v>14</v>
      </c>
      <c r="E577" s="339">
        <v>15</v>
      </c>
      <c r="F577" s="339">
        <v>16</v>
      </c>
      <c r="G577" s="749"/>
      <c r="H577" s="750"/>
      <c r="I577" s="749"/>
      <c r="J577" s="750"/>
      <c r="K577" s="751"/>
    </row>
    <row r="578" spans="1:12" ht="15.75">
      <c r="A578" s="531" t="s">
        <v>940</v>
      </c>
      <c r="B578" s="422"/>
      <c r="C578" s="475"/>
      <c r="D578" s="526" t="s">
        <v>742</v>
      </c>
      <c r="E578" s="526" t="s">
        <v>743</v>
      </c>
      <c r="F578" s="526" t="s">
        <v>744</v>
      </c>
      <c r="G578" s="784" t="s">
        <v>745</v>
      </c>
      <c r="H578" s="785" t="s">
        <v>746</v>
      </c>
      <c r="I578" s="786" t="s">
        <v>747</v>
      </c>
      <c r="J578" s="787" t="s">
        <v>748</v>
      </c>
      <c r="K578" s="788" t="s">
        <v>749</v>
      </c>
      <c r="L578" s="66"/>
    </row>
    <row r="579" spans="1:12">
      <c r="A579" s="748" t="s">
        <v>399</v>
      </c>
      <c r="B579" s="278"/>
      <c r="C579" s="313"/>
      <c r="D579" s="424" t="s">
        <v>478</v>
      </c>
      <c r="E579" s="439" t="s">
        <v>609</v>
      </c>
      <c r="F579" s="311" t="s">
        <v>610</v>
      </c>
      <c r="G579" s="424" t="s">
        <v>479</v>
      </c>
      <c r="H579" s="439" t="s">
        <v>611</v>
      </c>
      <c r="I579" s="311" t="s">
        <v>480</v>
      </c>
      <c r="J579" s="424" t="s">
        <v>612</v>
      </c>
      <c r="K579" s="424" t="s">
        <v>613</v>
      </c>
      <c r="L579" s="65"/>
    </row>
    <row r="580" spans="1:12">
      <c r="A580" s="748" t="s">
        <v>407</v>
      </c>
      <c r="B580" s="771"/>
      <c r="C580" s="313"/>
      <c r="D580" s="311">
        <v>30312732</v>
      </c>
      <c r="E580" s="311">
        <v>30299736</v>
      </c>
      <c r="F580" s="311">
        <v>30299809</v>
      </c>
      <c r="G580" s="311">
        <v>30312767</v>
      </c>
      <c r="H580" s="311">
        <v>30304519</v>
      </c>
      <c r="I580" s="311">
        <v>30299892</v>
      </c>
      <c r="J580" s="783">
        <v>30299906</v>
      </c>
      <c r="K580" s="311">
        <v>30299973</v>
      </c>
      <c r="L580" s="65"/>
    </row>
    <row r="581" spans="1:12">
      <c r="A581" s="748" t="s">
        <v>658</v>
      </c>
      <c r="B581" s="278"/>
      <c r="C581" s="313"/>
      <c r="D581" s="749">
        <v>2100000000</v>
      </c>
      <c r="E581" s="750">
        <v>454500000</v>
      </c>
      <c r="F581" s="751">
        <v>149300000</v>
      </c>
      <c r="G581" s="749">
        <v>1813500000</v>
      </c>
      <c r="H581" s="750">
        <v>500000000</v>
      </c>
      <c r="I581" s="749">
        <v>2429000000</v>
      </c>
      <c r="J581" s="750">
        <v>1146000000</v>
      </c>
      <c r="K581" s="751">
        <v>768500000</v>
      </c>
      <c r="L581" s="65"/>
    </row>
    <row r="582" spans="1:12">
      <c r="A582" s="748" t="s">
        <v>659</v>
      </c>
      <c r="B582" s="278"/>
      <c r="C582" s="313"/>
      <c r="D582" s="749">
        <v>0</v>
      </c>
      <c r="E582" s="750">
        <v>0</v>
      </c>
      <c r="F582" s="751">
        <v>0</v>
      </c>
      <c r="G582" s="789" t="e">
        <f>#REF!</f>
        <v>#REF!</v>
      </c>
      <c r="H582" s="790" t="e">
        <f>#REF!</f>
        <v>#REF!</v>
      </c>
      <c r="I582" s="791" t="e">
        <f>#REF!</f>
        <v>#REF!</v>
      </c>
      <c r="J582" s="750" t="e">
        <f>#REF!</f>
        <v>#REF!</v>
      </c>
      <c r="K582" s="751" t="e">
        <f>#REF!</f>
        <v>#REF!</v>
      </c>
      <c r="L582" s="65"/>
    </row>
    <row r="583" spans="1:12">
      <c r="A583" s="748" t="s">
        <v>917</v>
      </c>
      <c r="B583" s="278"/>
      <c r="C583" s="313"/>
      <c r="D583" s="749" t="e">
        <f>+VLOOKUP($D$9,'GMF 3 CCY Amortisation'!$U$86:$AM$153,2,FALSE)</f>
        <v>#REF!</v>
      </c>
      <c r="E583" s="792" t="e">
        <f>+VLOOKUP($D$9,'GMF 3 CCY Amortisation'!$U$86:$AM$153,3,FALSE)</f>
        <v>#REF!</v>
      </c>
      <c r="F583" s="793" t="e">
        <f>+VLOOKUP($D$9,'GMF 3 CCY Amortisation'!$U$86:$AM$153,4,FALSE)</f>
        <v>#REF!</v>
      </c>
      <c r="G583" s="789" t="e">
        <f>+VLOOKUP($D$9,'GMF 3 CCY Amortisation'!$U$86:$AM$153,5,FALSE)</f>
        <v>#REF!</v>
      </c>
      <c r="H583" s="792" t="e">
        <f>+VLOOKUP($D$9,'GMF 3 CCY Amortisation'!$U$86:$AM$153,6,FALSE)</f>
        <v>#REF!</v>
      </c>
      <c r="I583" s="749" t="e">
        <f>+VLOOKUP($D$9,'GMF 3 CCY Amortisation'!$U$86:$AM$153,7,FALSE)</f>
        <v>#REF!</v>
      </c>
      <c r="J583" s="750" t="e">
        <f>+VLOOKUP($D$9,'GMF 3 CCY Amortisation'!$U$86:$AM$153,8,FALSE)</f>
        <v>#REF!</v>
      </c>
      <c r="K583" s="751" t="e">
        <f>+VLOOKUP($D$9,'GMF 3 CCY Amortisation'!$U$86:$AM$153,9,FALSE)</f>
        <v>#REF!</v>
      </c>
      <c r="L583" s="820"/>
    </row>
    <row r="584" spans="1:12">
      <c r="A584" s="748" t="s">
        <v>660</v>
      </c>
      <c r="B584" s="278"/>
      <c r="C584" s="313"/>
      <c r="D584" s="749" t="e">
        <f>+VLOOKUP($D$9,'GMF 3 CCY Amortisation'!$A$169:$T$236,3,FALSE)</f>
        <v>#REF!</v>
      </c>
      <c r="E584" s="792">
        <v>0</v>
      </c>
      <c r="F584" s="793">
        <v>0</v>
      </c>
      <c r="G584" s="789" t="e">
        <f>#REF!</f>
        <v>#REF!</v>
      </c>
      <c r="H584" s="792" t="e">
        <f>+VLOOKUP($D$9,'GMF 3 CCY Amortisation'!$A$169:$T$236,7,FALSE)</f>
        <v>#REF!</v>
      </c>
      <c r="I584" s="749" t="e">
        <f>+VLOOKUP($D$9,'GMF 3 CCY Amortisation'!$A$169:$T$236,8,FALSE)</f>
        <v>#REF!</v>
      </c>
      <c r="J584" s="750" t="e">
        <f>+VLOOKUP($D$9,'GMF 3 CCY Amortisation'!$A$169:$T$236,9,FALSE)</f>
        <v>#REF!</v>
      </c>
      <c r="K584" s="751" t="e">
        <f>+VLOOKUP($D$9,'GMF 3 CCY Amortisation'!$A$169:$T$236,10,FALSE)</f>
        <v>#REF!</v>
      </c>
      <c r="L584" s="65"/>
    </row>
    <row r="585" spans="1:12">
      <c r="A585" s="748" t="s">
        <v>393</v>
      </c>
      <c r="B585" s="278"/>
      <c r="C585" s="313"/>
      <c r="D585" s="756" t="e">
        <f>#REF!</f>
        <v>#REF!</v>
      </c>
      <c r="E585" s="756" t="e">
        <f>#REF!</f>
        <v>#REF!</v>
      </c>
      <c r="F585" s="756" t="e">
        <f>#REF!</f>
        <v>#REF!</v>
      </c>
      <c r="G585" s="756" t="e">
        <f>#REF!</f>
        <v>#REF!</v>
      </c>
      <c r="H585" s="756" t="e">
        <f>#REF!</f>
        <v>#REF!</v>
      </c>
      <c r="I585" s="756" t="e">
        <f>#REF!</f>
        <v>#REF!</v>
      </c>
      <c r="J585" s="756" t="e">
        <f>#REF!</f>
        <v>#REF!</v>
      </c>
      <c r="K585" s="756" t="e">
        <f>#REF!</f>
        <v>#REF!</v>
      </c>
      <c r="L585" s="65"/>
    </row>
    <row r="586" spans="1:12">
      <c r="A586" s="748" t="s">
        <v>394</v>
      </c>
      <c r="B586" s="278"/>
      <c r="C586" s="313"/>
      <c r="D586" s="756" t="e">
        <f>#REF!</f>
        <v>#REF!</v>
      </c>
      <c r="E586" s="756" t="e">
        <f>#REF!</f>
        <v>#REF!</v>
      </c>
      <c r="F586" s="756" t="e">
        <f>#REF!</f>
        <v>#REF!</v>
      </c>
      <c r="G586" s="756" t="e">
        <f>#REF!</f>
        <v>#REF!</v>
      </c>
      <c r="H586" s="756" t="e">
        <f>#REF!</f>
        <v>#REF!</v>
      </c>
      <c r="I586" s="756" t="e">
        <f>#REF!</f>
        <v>#REF!</v>
      </c>
      <c r="J586" s="756" t="e">
        <f>#REF!</f>
        <v>#REF!</v>
      </c>
      <c r="K586" s="756" t="e">
        <f>#REF!</f>
        <v>#REF!</v>
      </c>
      <c r="L586" s="65"/>
    </row>
    <row r="587" spans="1:12">
      <c r="A587" s="748" t="s">
        <v>661</v>
      </c>
      <c r="B587" s="278"/>
      <c r="C587" s="313"/>
      <c r="D587" s="749" t="e">
        <f>+VLOOKUP($D$9,'GMF 3 CCY Amortisation'!$A$86:$T$153,3,FALSE)</f>
        <v>#REF!</v>
      </c>
      <c r="E587" s="750" t="e">
        <f>+VLOOKUP($D$9,'GMF 3 CCY Amortisation'!$A$86:$T$153,4,FALSE)</f>
        <v>#REF!</v>
      </c>
      <c r="F587" s="751" t="e">
        <f>+VLOOKUP($D$9,'GMF 3 CCY Amortisation'!$A$86:$T$153,5,FALSE)</f>
        <v>#REF!</v>
      </c>
      <c r="G587" s="749" t="e">
        <f>+VLOOKUP($D$9,'GMF 3 CCY Amortisation'!$A$86:$T$153,6,FALSE)</f>
        <v>#REF!</v>
      </c>
      <c r="H587" s="750" t="e">
        <f>+VLOOKUP($D$9,'GMF 3 CCY Amortisation'!$A$86:$T$153,7,FALSE)</f>
        <v>#REF!</v>
      </c>
      <c r="I587" s="749" t="e">
        <f>+VLOOKUP($D$9,'GMF 3 CCY Amortisation'!$A$86:$T$153,8,FALSE)</f>
        <v>#REF!</v>
      </c>
      <c r="J587" s="750" t="e">
        <f>+VLOOKUP($D$9,'GMF 3 CCY Amortisation'!$A$86:$T$153,9,FALSE)</f>
        <v>#REF!</v>
      </c>
      <c r="K587" s="751" t="e">
        <f>+VLOOKUP($D$9,'GMF 3 CCY Amortisation'!$A$86:$T$153,10,FALSE)</f>
        <v>#REF!</v>
      </c>
      <c r="L587" s="65"/>
    </row>
    <row r="588" spans="1:12">
      <c r="A588" s="748" t="s">
        <v>662</v>
      </c>
      <c r="B588" s="278"/>
      <c r="C588" s="313"/>
      <c r="D588" s="749" t="e">
        <f>+VLOOKUP($D$9,'GMF 3 CCY Amortisation'!$A$3:$S$69,3,FALSE)</f>
        <v>#REF!</v>
      </c>
      <c r="E588" s="750" t="e">
        <f>+VLOOKUP($D$9,'GMF 3 CCY Amortisation'!$A$3:$S$69,4,FALSE)</f>
        <v>#REF!</v>
      </c>
      <c r="F588" s="751" t="e">
        <f>+VLOOKUP($D$9,'GMF 3 CCY Amortisation'!$A$3:$S$69,5,FALSE)</f>
        <v>#REF!</v>
      </c>
      <c r="G588" s="749" t="e">
        <f>+VLOOKUP($D$9,'GMF 3 CCY Amortisation'!$A$3:$S$69,6,FALSE)</f>
        <v>#REF!</v>
      </c>
      <c r="H588" s="750" t="e">
        <f>+VLOOKUP($D$9,'GMF 3 CCY Amortisation'!$A$3:$S$69,7,FALSE)</f>
        <v>#REF!</v>
      </c>
      <c r="I588" s="749" t="e">
        <f>+VLOOKUP($D$9,'GMF 3 CCY Amortisation'!$A$3:$S$69,8,FALSE)</f>
        <v>#REF!</v>
      </c>
      <c r="J588" s="750" t="e">
        <f>+VLOOKUP($D$9,'GMF 3 CCY Amortisation'!$A$3:$S$69,9,FALSE)</f>
        <v>#REF!</v>
      </c>
      <c r="K588" s="751" t="e">
        <f>+VLOOKUP($D$9,'GMF 3 CCY Amortisation'!$A$3:$S$69,10,FALSE)</f>
        <v>#REF!</v>
      </c>
      <c r="L588" s="65"/>
    </row>
    <row r="589" spans="1:12">
      <c r="A589" s="748" t="s">
        <v>663</v>
      </c>
      <c r="B589" s="278"/>
      <c r="C589" s="313"/>
      <c r="D589" s="749" t="e">
        <f t="shared" ref="D589:F590" si="0">D583-D587</f>
        <v>#REF!</v>
      </c>
      <c r="E589" s="750" t="e">
        <f>ROUND(E583-E587,2)</f>
        <v>#REF!</v>
      </c>
      <c r="F589" s="751" t="e">
        <f t="shared" si="0"/>
        <v>#REF!</v>
      </c>
      <c r="G589" s="749" t="e">
        <f t="shared" ref="G589:K590" si="1">G583-G587</f>
        <v>#REF!</v>
      </c>
      <c r="H589" s="750" t="e">
        <f t="shared" si="1"/>
        <v>#REF!</v>
      </c>
      <c r="I589" s="749" t="e">
        <f t="shared" si="1"/>
        <v>#REF!</v>
      </c>
      <c r="J589" s="750" t="e">
        <f t="shared" si="1"/>
        <v>#REF!</v>
      </c>
      <c r="K589" s="751" t="e">
        <f t="shared" si="1"/>
        <v>#REF!</v>
      </c>
      <c r="L589" s="65"/>
    </row>
    <row r="590" spans="1:12">
      <c r="A590" s="1506" t="s">
        <v>120</v>
      </c>
      <c r="B590" s="1507"/>
      <c r="C590" s="1507"/>
      <c r="D590" s="749" t="e">
        <f t="shared" si="0"/>
        <v>#REF!</v>
      </c>
      <c r="E590" s="750" t="e">
        <f t="shared" si="0"/>
        <v>#REF!</v>
      </c>
      <c r="F590" s="751" t="e">
        <f t="shared" si="0"/>
        <v>#REF!</v>
      </c>
      <c r="G590" s="749" t="e">
        <f t="shared" si="1"/>
        <v>#REF!</v>
      </c>
      <c r="H590" s="750" t="e">
        <f t="shared" si="1"/>
        <v>#REF!</v>
      </c>
      <c r="I590" s="749" t="e">
        <f t="shared" si="1"/>
        <v>#REF!</v>
      </c>
      <c r="J590" s="750" t="e">
        <f t="shared" si="1"/>
        <v>#REF!</v>
      </c>
      <c r="K590" s="751" t="e">
        <f t="shared" si="1"/>
        <v>#REF!</v>
      </c>
      <c r="L590" s="65"/>
    </row>
    <row r="591" spans="1:12">
      <c r="A591" s="748" t="s">
        <v>740</v>
      </c>
      <c r="B591" s="278"/>
      <c r="C591" s="313"/>
      <c r="D591" s="311" t="s">
        <v>664</v>
      </c>
      <c r="E591" s="311" t="s">
        <v>664</v>
      </c>
      <c r="F591" s="311" t="s">
        <v>664</v>
      </c>
      <c r="G591" s="311" t="s">
        <v>664</v>
      </c>
      <c r="H591" s="311" t="s">
        <v>664</v>
      </c>
      <c r="I591" s="749" t="s">
        <v>664</v>
      </c>
      <c r="J591" s="749" t="s">
        <v>664</v>
      </c>
      <c r="K591" s="311" t="s">
        <v>664</v>
      </c>
      <c r="L591" s="65"/>
    </row>
    <row r="592" spans="1:12" ht="25.5">
      <c r="A592" s="748" t="s">
        <v>665</v>
      </c>
      <c r="B592" s="278"/>
      <c r="C592" s="313"/>
      <c r="D592" s="312" t="s">
        <v>666</v>
      </c>
      <c r="E592" s="312" t="s">
        <v>667</v>
      </c>
      <c r="F592" s="312" t="s">
        <v>668</v>
      </c>
      <c r="G592" s="312" t="s">
        <v>666</v>
      </c>
      <c r="H592" s="312" t="s">
        <v>667</v>
      </c>
      <c r="I592" s="312" t="s">
        <v>666</v>
      </c>
      <c r="J592" s="312" t="s">
        <v>667</v>
      </c>
      <c r="K592" s="312" t="s">
        <v>668</v>
      </c>
      <c r="L592" s="65"/>
    </row>
    <row r="593" spans="1:40">
      <c r="A593" s="748" t="s">
        <v>669</v>
      </c>
      <c r="B593" s="278"/>
      <c r="C593" s="313"/>
      <c r="D593" s="759" t="e">
        <f>#REF!</f>
        <v>#REF!</v>
      </c>
      <c r="E593" s="759" t="e">
        <f>#REF!</f>
        <v>#REF!</v>
      </c>
      <c r="F593" s="759" t="e">
        <f>#REF!</f>
        <v>#REF!</v>
      </c>
      <c r="G593" s="759" t="e">
        <f>#REF!</f>
        <v>#REF!</v>
      </c>
      <c r="H593" s="759" t="e">
        <f>#REF!</f>
        <v>#REF!</v>
      </c>
      <c r="I593" s="759" t="e">
        <f>#REF!</f>
        <v>#REF!</v>
      </c>
      <c r="J593" s="759" t="e">
        <f>#REF!</f>
        <v>#REF!</v>
      </c>
      <c r="K593" s="759" t="e">
        <f>#REF!</f>
        <v>#REF!</v>
      </c>
      <c r="L593" s="65"/>
    </row>
    <row r="594" spans="1:40">
      <c r="A594" s="748" t="s">
        <v>670</v>
      </c>
      <c r="B594" s="278"/>
      <c r="C594" s="313"/>
      <c r="D594" s="759" t="e">
        <f>+VLOOKUP(D578,#REF!,6,FALSE)</f>
        <v>#REF!</v>
      </c>
      <c r="E594" s="759" t="e">
        <f>+VLOOKUP(E578,#REF!,6,FALSE)</f>
        <v>#REF!</v>
      </c>
      <c r="F594" s="759" t="e">
        <f>+VLOOKUP(F578,#REF!,6,FALSE)</f>
        <v>#REF!</v>
      </c>
      <c r="G594" s="759" t="e">
        <f>+VLOOKUP(G578,#REF!,6,FALSE)</f>
        <v>#REF!</v>
      </c>
      <c r="H594" s="759" t="e">
        <f>+VLOOKUP(H578,#REF!,6,FALSE)</f>
        <v>#REF!</v>
      </c>
      <c r="I594" s="759" t="e">
        <f>+VLOOKUP(I578,#REF!,6,FALSE)</f>
        <v>#REF!</v>
      </c>
      <c r="J594" s="759" t="e">
        <f>+VLOOKUP(J578,#REF!,6,FALSE)</f>
        <v>#REF!</v>
      </c>
      <c r="K594" s="759" t="e">
        <f>+VLOOKUP(K578,#REF!,6,FALSE)</f>
        <v>#REF!</v>
      </c>
      <c r="L594" s="65"/>
    </row>
    <row r="595" spans="1:40">
      <c r="A595" s="748" t="s">
        <v>918</v>
      </c>
      <c r="B595" s="278"/>
      <c r="C595" s="313"/>
      <c r="D595" s="749" t="e">
        <f>+VLOOKUP(D578,#REF!,3,FALSE)</f>
        <v>#REF!</v>
      </c>
      <c r="E595" s="750" t="e">
        <f>+VLOOKUP(E578,#REF!,3,FALSE)</f>
        <v>#REF!</v>
      </c>
      <c r="F595" s="751" t="e">
        <f>+VLOOKUP(F578,#REF!,3,FALSE)</f>
        <v>#REF!</v>
      </c>
      <c r="G595" s="749" t="e">
        <f>+VLOOKUP(G578,#REF!,3,FALSE)</f>
        <v>#REF!</v>
      </c>
      <c r="H595" s="750" t="e">
        <f>+VLOOKUP(H578,#REF!,3,FALSE)</f>
        <v>#REF!</v>
      </c>
      <c r="I595" s="749" t="e">
        <f>+VLOOKUP(I578,#REF!,3,FALSE)</f>
        <v>#REF!</v>
      </c>
      <c r="J595" s="750" t="e">
        <f>+VLOOKUP(J578,#REF!,3,FALSE)</f>
        <v>#REF!</v>
      </c>
      <c r="K595" s="751" t="e">
        <f>+VLOOKUP(K578,#REF!,3,FALSE)</f>
        <v>#REF!</v>
      </c>
      <c r="L595" s="65"/>
    </row>
    <row r="596" spans="1:40">
      <c r="A596" s="423" t="s">
        <v>916</v>
      </c>
      <c r="B596" s="278"/>
      <c r="C596" s="313"/>
      <c r="D596" s="749" t="e">
        <f>+VLOOKUP(D578,#REF!,26,FALSE)</f>
        <v>#REF!</v>
      </c>
      <c r="E596" s="750" t="e">
        <f>+VLOOKUP(E578,#REF!,26,FALSE)</f>
        <v>#REF!</v>
      </c>
      <c r="F596" s="751" t="e">
        <f>+VLOOKUP(F578,#REF!,26,FALSE)</f>
        <v>#REF!</v>
      </c>
      <c r="G596" s="749" t="e">
        <f>+VLOOKUP(G578,#REF!,26,FALSE)</f>
        <v>#REF!</v>
      </c>
      <c r="H596" s="750" t="e">
        <f>+VLOOKUP(H578,#REF!,26,FALSE)</f>
        <v>#REF!</v>
      </c>
      <c r="I596" s="749" t="e">
        <f>+VLOOKUP(I578,#REF!,26,FALSE)</f>
        <v>#REF!</v>
      </c>
      <c r="J596" s="750" t="e">
        <f>+VLOOKUP(J578,#REF!,26,FALSE)</f>
        <v>#REF!</v>
      </c>
      <c r="K596" s="751" t="e">
        <f>+VLOOKUP(K578,#REF!,26,FALSE)</f>
        <v>#REF!</v>
      </c>
      <c r="L596" s="65"/>
    </row>
    <row r="597" spans="1:40">
      <c r="A597" s="748" t="s">
        <v>671</v>
      </c>
      <c r="B597" s="278"/>
      <c r="C597" s="313"/>
      <c r="D597" s="749" t="e">
        <f>D595-D596</f>
        <v>#REF!</v>
      </c>
      <c r="E597" s="750" t="e">
        <f>ROUND(E595-E596,1)</f>
        <v>#REF!</v>
      </c>
      <c r="F597" s="751" t="e">
        <f>F595-F596</f>
        <v>#REF!</v>
      </c>
      <c r="G597" s="749" t="e">
        <f>G595-G596</f>
        <v>#REF!</v>
      </c>
      <c r="H597" s="750" t="e">
        <f>H595-H596</f>
        <v>#REF!</v>
      </c>
      <c r="I597" s="749" t="e">
        <f>I595-I596</f>
        <v>#REF!</v>
      </c>
      <c r="J597" s="750" t="e">
        <f>ROUND(J595-J596,2)</f>
        <v>#REF!</v>
      </c>
      <c r="K597" s="751" t="e">
        <f>K595-K596</f>
        <v>#REF!</v>
      </c>
      <c r="L597" s="65"/>
    </row>
    <row r="598" spans="1:40">
      <c r="A598" s="748" t="s">
        <v>691</v>
      </c>
      <c r="B598" s="278"/>
      <c r="C598" s="313"/>
      <c r="D598" s="749" t="e">
        <f>+VLOOKUP(D578,#REF!,11,FALSE)</f>
        <v>#REF!</v>
      </c>
      <c r="E598" s="750" t="e">
        <f>+ROUND(VLOOKUP(E578,#REF!,11,FALSE),2)</f>
        <v>#REF!</v>
      </c>
      <c r="F598" s="751" t="e">
        <f>+VLOOKUP(F578,#REF!,11,FALSE)</f>
        <v>#REF!</v>
      </c>
      <c r="G598" s="749" t="e">
        <f>+VLOOKUP(G578,#REF!,11,FALSE)</f>
        <v>#REF!</v>
      </c>
      <c r="H598" s="750" t="e">
        <f>+VLOOKUP(H578,#REF!,11,FALSE)</f>
        <v>#REF!</v>
      </c>
      <c r="I598" s="749" t="e">
        <f>+VLOOKUP(I578,#REF!,11,FALSE)</f>
        <v>#REF!</v>
      </c>
      <c r="J598" s="750" t="e">
        <f>+ROUND(VLOOKUP(J578,#REF!,11,FALSE),2)</f>
        <v>#REF!</v>
      </c>
      <c r="K598" s="751" t="e">
        <f>+VLOOKUP(K578,#REF!,11,FALSE)</f>
        <v>#REF!</v>
      </c>
      <c r="L598" s="65"/>
    </row>
    <row r="599" spans="1:40">
      <c r="A599" s="748" t="s">
        <v>672</v>
      </c>
      <c r="B599" s="278"/>
      <c r="C599" s="313"/>
      <c r="D599" s="424">
        <v>0.88</v>
      </c>
      <c r="E599" s="424">
        <v>0.88</v>
      </c>
      <c r="F599" s="424">
        <v>0.88</v>
      </c>
      <c r="G599" s="424">
        <v>2.36</v>
      </c>
      <c r="H599" s="424">
        <v>2.36</v>
      </c>
      <c r="I599" s="424">
        <v>4.5999999999999996</v>
      </c>
      <c r="J599" s="424">
        <v>4.5999999999999996</v>
      </c>
      <c r="K599" s="424">
        <v>4.5999999999999996</v>
      </c>
      <c r="L599" s="65"/>
    </row>
    <row r="600" spans="1:40">
      <c r="A600" s="748" t="s">
        <v>673</v>
      </c>
      <c r="B600" s="278"/>
      <c r="C600" s="313"/>
      <c r="D600" s="761">
        <v>39772</v>
      </c>
      <c r="E600" s="761">
        <v>39772</v>
      </c>
      <c r="F600" s="761">
        <v>39772</v>
      </c>
      <c r="G600" s="761">
        <v>40410</v>
      </c>
      <c r="H600" s="761">
        <v>40410</v>
      </c>
      <c r="I600" s="761">
        <v>41049</v>
      </c>
      <c r="J600" s="761">
        <v>41049</v>
      </c>
      <c r="K600" s="762">
        <v>41049</v>
      </c>
      <c r="L600" s="65"/>
      <c r="M600" s="778"/>
      <c r="N600" s="778"/>
      <c r="O600" s="778"/>
      <c r="P600" s="779"/>
      <c r="Q600" s="778"/>
      <c r="R600" s="778"/>
      <c r="S600" s="778"/>
      <c r="T600" s="778"/>
      <c r="U600" s="778"/>
      <c r="V600" s="778"/>
      <c r="W600" s="778"/>
      <c r="X600" s="778"/>
      <c r="Y600" s="778"/>
      <c r="Z600" s="779"/>
      <c r="AA600" s="778"/>
      <c r="AB600" s="778"/>
      <c r="AC600" s="778"/>
      <c r="AD600" s="778"/>
      <c r="AE600" s="778"/>
      <c r="AF600" s="778"/>
      <c r="AG600" s="778"/>
      <c r="AH600" s="778"/>
      <c r="AI600" s="778"/>
      <c r="AJ600" s="778"/>
    </row>
    <row r="601" spans="1:40">
      <c r="A601" s="748" t="s">
        <v>674</v>
      </c>
      <c r="B601" s="278"/>
      <c r="C601" s="313"/>
      <c r="D601" s="762">
        <v>41049</v>
      </c>
      <c r="E601" s="762">
        <v>41049</v>
      </c>
      <c r="F601" s="762">
        <v>41049</v>
      </c>
      <c r="G601" s="762">
        <v>41049</v>
      </c>
      <c r="H601" s="762">
        <v>41049</v>
      </c>
      <c r="I601" s="762">
        <v>41049</v>
      </c>
      <c r="J601" s="762">
        <v>41049</v>
      </c>
      <c r="K601" s="762">
        <v>41049</v>
      </c>
      <c r="L601" s="65"/>
      <c r="M601" s="122"/>
      <c r="N601" s="122"/>
      <c r="O601" s="122"/>
      <c r="P601" s="122"/>
      <c r="Q601" s="122"/>
      <c r="R601" s="122"/>
      <c r="S601" s="122"/>
      <c r="T601" s="122"/>
      <c r="U601" s="122"/>
      <c r="V601" s="122"/>
      <c r="W601" s="122"/>
      <c r="X601" s="122"/>
      <c r="Y601" s="122"/>
      <c r="Z601" s="122"/>
      <c r="AA601" s="122"/>
      <c r="AB601" s="122"/>
      <c r="AC601" s="122"/>
      <c r="AD601" s="122"/>
      <c r="AE601" s="122"/>
      <c r="AF601" s="122"/>
      <c r="AG601" s="122"/>
      <c r="AH601" s="122"/>
      <c r="AI601" s="122"/>
      <c r="AJ601" s="122"/>
      <c r="AK601" s="121"/>
      <c r="AL601" s="121"/>
      <c r="AM601" s="121"/>
      <c r="AN601" s="121"/>
    </row>
    <row r="602" spans="1:40">
      <c r="A602" s="748" t="s">
        <v>675</v>
      </c>
      <c r="B602" s="278" t="s">
        <v>622</v>
      </c>
      <c r="C602" s="313"/>
      <c r="D602" s="762">
        <v>48446</v>
      </c>
      <c r="E602" s="762">
        <v>48446</v>
      </c>
      <c r="F602" s="762">
        <v>48446</v>
      </c>
      <c r="G602" s="762">
        <v>57304</v>
      </c>
      <c r="H602" s="762">
        <v>57304</v>
      </c>
      <c r="I602" s="762">
        <v>57304</v>
      </c>
      <c r="J602" s="762">
        <v>57304</v>
      </c>
      <c r="K602" s="762">
        <v>57304</v>
      </c>
      <c r="L602" s="65"/>
      <c r="M602" s="123"/>
      <c r="N602" s="123"/>
      <c r="O602" s="123"/>
      <c r="P602" s="123"/>
      <c r="Q602" s="123"/>
      <c r="R602" s="123"/>
      <c r="S602" s="123"/>
      <c r="T602" s="123"/>
      <c r="U602" s="123"/>
      <c r="V602" s="123"/>
      <c r="W602" s="123"/>
      <c r="X602" s="123"/>
      <c r="Y602" s="123"/>
      <c r="Z602" s="123"/>
      <c r="AA602" s="123"/>
      <c r="AB602" s="123"/>
      <c r="AC602" s="123"/>
      <c r="AD602" s="123"/>
      <c r="AE602" s="123"/>
      <c r="AF602" s="123"/>
      <c r="AG602" s="123"/>
      <c r="AH602" s="123"/>
      <c r="AI602" s="123"/>
      <c r="AJ602" s="123"/>
      <c r="AK602" s="121"/>
      <c r="AL602" s="121"/>
      <c r="AM602" s="121"/>
      <c r="AN602" s="121"/>
    </row>
    <row r="603" spans="1:40">
      <c r="A603" s="431"/>
      <c r="B603" s="278"/>
      <c r="C603" s="313"/>
      <c r="D603" s="278"/>
      <c r="E603" s="313"/>
      <c r="F603" s="35"/>
      <c r="G603" s="424"/>
      <c r="H603" s="439"/>
      <c r="I603" s="311"/>
      <c r="J603" s="424"/>
      <c r="K603" s="439"/>
      <c r="L603" s="65"/>
    </row>
    <row r="604" spans="1:40">
      <c r="A604" s="708" t="s">
        <v>622</v>
      </c>
      <c r="B604" s="278" t="s">
        <v>622</v>
      </c>
      <c r="C604" s="794"/>
      <c r="D604" s="278"/>
      <c r="E604" s="313"/>
      <c r="F604" s="35"/>
      <c r="G604" s="311"/>
      <c r="H604" s="311"/>
      <c r="I604" s="311"/>
      <c r="J604" s="311"/>
      <c r="K604" s="311"/>
      <c r="L604" s="65"/>
    </row>
    <row r="605" spans="1:40">
      <c r="A605" s="721"/>
      <c r="B605" s="278"/>
      <c r="C605" s="313"/>
      <c r="D605" s="35"/>
      <c r="E605" s="765">
        <v>15</v>
      </c>
      <c r="F605" s="765">
        <v>16</v>
      </c>
      <c r="G605" s="749"/>
      <c r="H605" s="750"/>
      <c r="I605" s="795"/>
      <c r="J605" s="749"/>
      <c r="K605" s="750"/>
      <c r="L605" s="65"/>
    </row>
    <row r="606" spans="1:40">
      <c r="A606" s="745"/>
      <c r="B606" s="278"/>
      <c r="C606" s="313"/>
      <c r="D606" s="732" t="s">
        <v>750</v>
      </c>
      <c r="E606" s="732" t="s">
        <v>751</v>
      </c>
      <c r="F606" s="732" t="s">
        <v>752</v>
      </c>
      <c r="G606" s="796" t="s">
        <v>753</v>
      </c>
      <c r="H606" s="797" t="s">
        <v>754</v>
      </c>
      <c r="I606" s="797" t="s">
        <v>755</v>
      </c>
      <c r="J606" s="798" t="s">
        <v>756</v>
      </c>
      <c r="K606" s="797" t="s">
        <v>757</v>
      </c>
      <c r="L606" s="770" t="s">
        <v>758</v>
      </c>
    </row>
    <row r="607" spans="1:40">
      <c r="A607" s="748" t="s">
        <v>399</v>
      </c>
      <c r="B607" s="278"/>
      <c r="C607" s="313"/>
      <c r="D607" s="439" t="s">
        <v>481</v>
      </c>
      <c r="E607" s="311" t="s">
        <v>614</v>
      </c>
      <c r="F607" s="424" t="s">
        <v>615</v>
      </c>
      <c r="G607" s="424" t="s">
        <v>482</v>
      </c>
      <c r="H607" s="439" t="s">
        <v>616</v>
      </c>
      <c r="I607" s="311" t="s">
        <v>617</v>
      </c>
      <c r="J607" s="424" t="s">
        <v>483</v>
      </c>
      <c r="K607" s="439" t="s">
        <v>618</v>
      </c>
      <c r="L607" s="443" t="s">
        <v>619</v>
      </c>
    </row>
    <row r="608" spans="1:40">
      <c r="A608" s="748" t="s">
        <v>407</v>
      </c>
      <c r="B608" s="771"/>
      <c r="C608" s="749"/>
      <c r="D608" s="311">
        <v>30312821</v>
      </c>
      <c r="E608" s="311">
        <v>30300009</v>
      </c>
      <c r="F608" s="424">
        <v>30300033</v>
      </c>
      <c r="G608" s="311">
        <v>30312848</v>
      </c>
      <c r="H608" s="311">
        <v>30300084</v>
      </c>
      <c r="I608" s="311">
        <v>30300122</v>
      </c>
      <c r="J608" s="311">
        <v>30312856</v>
      </c>
      <c r="K608" s="311">
        <v>30300190</v>
      </c>
      <c r="L608" s="443">
        <v>30300220</v>
      </c>
    </row>
    <row r="609" spans="1:12">
      <c r="A609" s="748" t="s">
        <v>658</v>
      </c>
      <c r="B609" s="278"/>
      <c r="C609" s="749"/>
      <c r="D609" s="749">
        <v>86000000</v>
      </c>
      <c r="E609" s="750">
        <v>140000000</v>
      </c>
      <c r="F609" s="751">
        <v>20000000</v>
      </c>
      <c r="G609" s="749">
        <v>65000000</v>
      </c>
      <c r="H609" s="750">
        <v>95100000</v>
      </c>
      <c r="I609" s="795">
        <v>40000000</v>
      </c>
      <c r="J609" s="749">
        <v>45000000</v>
      </c>
      <c r="K609" s="750">
        <v>190900000</v>
      </c>
      <c r="L609" s="799">
        <v>22000000</v>
      </c>
    </row>
    <row r="610" spans="1:12">
      <c r="A610" s="748" t="s">
        <v>659</v>
      </c>
      <c r="B610" s="278"/>
      <c r="C610" s="749"/>
      <c r="D610" s="750">
        <v>0</v>
      </c>
      <c r="E610" s="750" t="e">
        <f>#REF!</f>
        <v>#REF!</v>
      </c>
      <c r="F610" s="751" t="e">
        <f>#REF!</f>
        <v>#REF!</v>
      </c>
      <c r="G610" s="751">
        <v>0</v>
      </c>
      <c r="H610" s="750" t="e">
        <f>#REF!</f>
        <v>#REF!</v>
      </c>
      <c r="I610" s="750" t="e">
        <f>#REF!</f>
        <v>#REF!</v>
      </c>
      <c r="J610" s="791" t="e">
        <f>#REF!</f>
        <v>#REF!</v>
      </c>
      <c r="K610" s="750" t="e">
        <f>#REF!</f>
        <v>#REF!</v>
      </c>
      <c r="L610" s="799" t="e">
        <f>#REF!</f>
        <v>#REF!</v>
      </c>
    </row>
    <row r="611" spans="1:12">
      <c r="A611" s="748" t="s">
        <v>917</v>
      </c>
      <c r="B611" s="278"/>
      <c r="C611" s="749"/>
      <c r="D611" s="749" t="e">
        <f>+VLOOKUP($D$9,'GMF 3 CCY Amortisation'!$U$86:$AM$153,10,FALSE)</f>
        <v>#REF!</v>
      </c>
      <c r="E611" s="750" t="e">
        <f>+VLOOKUP($D$9,'GMF 3 CCY Amortisation'!$U$86:$AM$153,11,FALSE)</f>
        <v>#REF!</v>
      </c>
      <c r="F611" s="751" t="e">
        <f>+VLOOKUP($D$9,'GMF 3 CCY Amortisation'!$U$86:$AM$153,12,FALSE)</f>
        <v>#REF!</v>
      </c>
      <c r="G611" s="749" t="e">
        <f>+VLOOKUP($D$9,'GMF 3 CCY Amortisation'!$U$86:$AM$153,13,FALSE)</f>
        <v>#REF!</v>
      </c>
      <c r="H611" s="750" t="e">
        <f>+VLOOKUP($D$9,'GMF 3 CCY Amortisation'!$U$86:$AM$153,14,FALSE)</f>
        <v>#REF!</v>
      </c>
      <c r="I611" s="795" t="e">
        <f>+VLOOKUP($D$9,'GMF 3 CCY Amortisation'!$U$86:$AM$153,15,FALSE)</f>
        <v>#REF!</v>
      </c>
      <c r="J611" s="749" t="e">
        <f>+VLOOKUP($D$9,'GMF 3 CCY Amortisation'!$U$86:$AM$153,16,FALSE)</f>
        <v>#REF!</v>
      </c>
      <c r="K611" s="750" t="e">
        <f>+VLOOKUP($D$9,'GMF 3 CCY Amortisation'!$U$86:$AM$153,17,FALSE)</f>
        <v>#REF!</v>
      </c>
      <c r="L611" s="799" t="e">
        <f>+VLOOKUP($D$9,'GMF 3 CCY Amortisation'!$U$86:$AM$153,18,FALSE)</f>
        <v>#REF!</v>
      </c>
    </row>
    <row r="612" spans="1:12">
      <c r="A612" s="748" t="s">
        <v>660</v>
      </c>
      <c r="B612" s="278"/>
      <c r="C612" s="749"/>
      <c r="D612" s="749" t="e">
        <f>+VLOOKUP($D$9,'GMF 3 CCY Amortisation'!$A$169:$T$236,11,FALSE)</f>
        <v>#REF!</v>
      </c>
      <c r="E612" s="750" t="e">
        <f>+VLOOKUP($D$9,'GMF 3 CCY Amortisation'!$A$169:$T$236,12,FALSE)</f>
        <v>#REF!</v>
      </c>
      <c r="F612" s="751" t="e">
        <f>+VLOOKUP($D$9,'GMF 3 CCY Amortisation'!$A$169:$T$236,13,FALSE)</f>
        <v>#REF!</v>
      </c>
      <c r="G612" s="749" t="e">
        <f>+VLOOKUP($D$9,'GMF 3 CCY Amortisation'!$A$169:$T$236,14,FALSE)</f>
        <v>#REF!</v>
      </c>
      <c r="H612" s="750" t="e">
        <f>+VLOOKUP($D$9,'GMF 3 CCY Amortisation'!$A$169:$T$236,15,FALSE)</f>
        <v>#REF!</v>
      </c>
      <c r="I612" s="795" t="e">
        <f>+VLOOKUP($D$9,'GMF 3 CCY Amortisation'!$A$169:$T$236,16,FALSE)</f>
        <v>#REF!</v>
      </c>
      <c r="J612" s="749" t="e">
        <f>+VLOOKUP($D$9,'GMF 3 CCY Amortisation'!$A$169:$T$236,17,FALSE)</f>
        <v>#REF!</v>
      </c>
      <c r="K612" s="750" t="e">
        <f>+VLOOKUP($D$9,'GMF 3 CCY Amortisation'!$A$169:$T$236,18,FALSE)</f>
        <v>#REF!</v>
      </c>
      <c r="L612" s="799" t="e">
        <f>+VLOOKUP($D$9,'GMF 3 CCY Amortisation'!$A$169:$T$236,19,FALSE)</f>
        <v>#REF!</v>
      </c>
    </row>
    <row r="613" spans="1:12">
      <c r="A613" s="748" t="s">
        <v>393</v>
      </c>
      <c r="B613" s="278"/>
      <c r="C613" s="800"/>
      <c r="D613" s="756" t="e">
        <f>#REF!</f>
        <v>#REF!</v>
      </c>
      <c r="E613" s="756" t="e">
        <f>#REF!</f>
        <v>#REF!</v>
      </c>
      <c r="F613" s="756" t="e">
        <f>#REF!</f>
        <v>#REF!</v>
      </c>
      <c r="G613" s="756" t="e">
        <f>#REF!</f>
        <v>#REF!</v>
      </c>
      <c r="H613" s="756" t="e">
        <f>#REF!</f>
        <v>#REF!</v>
      </c>
      <c r="I613" s="756" t="e">
        <f>#REF!</f>
        <v>#REF!</v>
      </c>
      <c r="J613" s="756" t="e">
        <f>#REF!</f>
        <v>#REF!</v>
      </c>
      <c r="K613" s="756" t="e">
        <f>#REF!</f>
        <v>#REF!</v>
      </c>
      <c r="L613" s="774" t="e">
        <f>#REF!</f>
        <v>#REF!</v>
      </c>
    </row>
    <row r="614" spans="1:12">
      <c r="A614" s="748" t="s">
        <v>394</v>
      </c>
      <c r="B614" s="278"/>
      <c r="C614" s="313"/>
      <c r="D614" s="756" t="e">
        <f>#REF!</f>
        <v>#REF!</v>
      </c>
      <c r="E614" s="756" t="e">
        <f>#REF!</f>
        <v>#REF!</v>
      </c>
      <c r="F614" s="756" t="e">
        <f>#REF!</f>
        <v>#REF!</v>
      </c>
      <c r="G614" s="756" t="e">
        <f>#REF!</f>
        <v>#REF!</v>
      </c>
      <c r="H614" s="756" t="e">
        <f>#REF!</f>
        <v>#REF!</v>
      </c>
      <c r="I614" s="756" t="e">
        <f>#REF!</f>
        <v>#REF!</v>
      </c>
      <c r="J614" s="756" t="e">
        <f>#REF!</f>
        <v>#REF!</v>
      </c>
      <c r="K614" s="756" t="e">
        <f>#REF!</f>
        <v>#REF!</v>
      </c>
      <c r="L614" s="774" t="e">
        <f>#REF!</f>
        <v>#REF!</v>
      </c>
    </row>
    <row r="615" spans="1:12">
      <c r="A615" s="748" t="s">
        <v>661</v>
      </c>
      <c r="B615" s="278"/>
      <c r="C615" s="313"/>
      <c r="D615" s="749" t="e">
        <f>+VLOOKUP($D$9,'GMF 3 CCY Amortisation'!$A$86:$T$153,11,FALSE)</f>
        <v>#REF!</v>
      </c>
      <c r="E615" s="750" t="e">
        <f>+VLOOKUP($D$9,'GMF 3 CCY Amortisation'!$A$86:$T$153,12,FALSE)</f>
        <v>#REF!</v>
      </c>
      <c r="F615" s="751" t="e">
        <f>+VLOOKUP($D$9,'GMF 3 CCY Amortisation'!$A$86:$T$153,13,FALSE)</f>
        <v>#REF!</v>
      </c>
      <c r="G615" s="749" t="e">
        <f>+VLOOKUP($D$9,'GMF 3 CCY Amortisation'!$A$86:$T$153,14,FALSE)</f>
        <v>#REF!</v>
      </c>
      <c r="H615" s="750" t="e">
        <f>+VLOOKUP($D$9,'GMF 3 CCY Amortisation'!$A$86:$T$153,15,FALSE)</f>
        <v>#REF!</v>
      </c>
      <c r="I615" s="795" t="e">
        <f>+VLOOKUP($D$9,'GMF 3 CCY Amortisation'!$A$86:$T$153,16,FALSE)</f>
        <v>#REF!</v>
      </c>
      <c r="J615" s="749" t="e">
        <f>+VLOOKUP($D$9,'GMF 3 CCY Amortisation'!$A$86:$T$153,17,FALSE)</f>
        <v>#REF!</v>
      </c>
      <c r="K615" s="750" t="e">
        <f>+VLOOKUP($D$9,'GMF 3 CCY Amortisation'!$A$86:$T$153,18,FALSE)</f>
        <v>#REF!</v>
      </c>
      <c r="L615" s="799" t="e">
        <f>+VLOOKUP($D$9,'GMF 3 CCY Amortisation'!$A$86:$T$153,19,FALSE)</f>
        <v>#REF!</v>
      </c>
    </row>
    <row r="616" spans="1:12">
      <c r="A616" s="748" t="s">
        <v>662</v>
      </c>
      <c r="B616" s="278"/>
      <c r="C616" s="313"/>
      <c r="D616" s="749" t="e">
        <f>+VLOOKUP($D$9,'GMF 3 CCY Amortisation'!$A$3:$S$69,11,FALSE)</f>
        <v>#REF!</v>
      </c>
      <c r="E616" s="750" t="e">
        <f>+VLOOKUP($D$9,'GMF 3 CCY Amortisation'!$A$3:$S$69,12,FALSE)</f>
        <v>#REF!</v>
      </c>
      <c r="F616" s="751" t="e">
        <f>+VLOOKUP($D$9,'GMF 3 CCY Amortisation'!$A$3:$S$69,13,FALSE)</f>
        <v>#REF!</v>
      </c>
      <c r="G616" s="749" t="e">
        <f>+VLOOKUP($D$9,'GMF 3 CCY Amortisation'!$A$3:$S$69,14,FALSE)</f>
        <v>#REF!</v>
      </c>
      <c r="H616" s="750" t="e">
        <f>+VLOOKUP($D$9,'GMF 3 CCY Amortisation'!$A$3:$S$69,15,FALSE)</f>
        <v>#REF!</v>
      </c>
      <c r="I616" s="795" t="e">
        <f>+VLOOKUP($D$9,'GMF 3 CCY Amortisation'!$A$3:$S$69,16,FALSE)</f>
        <v>#REF!</v>
      </c>
      <c r="J616" s="749" t="e">
        <f>+VLOOKUP($D$9,'GMF 3 CCY Amortisation'!$A$3:$S$69,17,FALSE)</f>
        <v>#REF!</v>
      </c>
      <c r="K616" s="750" t="e">
        <f>+VLOOKUP($D$9,'GMF 3 CCY Amortisation'!$A$3:$S$69,18,FALSE)</f>
        <v>#REF!</v>
      </c>
      <c r="L616" s="799" t="e">
        <f>+VLOOKUP($D$9,'GMF 3 CCY Amortisation'!$A$3:$S$69,19,FALSE)</f>
        <v>#REF!</v>
      </c>
    </row>
    <row r="617" spans="1:12">
      <c r="A617" s="748" t="s">
        <v>663</v>
      </c>
      <c r="B617" s="278"/>
      <c r="C617" s="313"/>
      <c r="D617" s="749" t="e">
        <f t="shared" ref="D617:F618" si="2">D611-D615</f>
        <v>#REF!</v>
      </c>
      <c r="E617" s="750" t="e">
        <f>E611-E615</f>
        <v>#REF!</v>
      </c>
      <c r="F617" s="751" t="e">
        <f t="shared" si="2"/>
        <v>#REF!</v>
      </c>
      <c r="G617" s="749" t="e">
        <f t="shared" ref="G617:L617" si="3">G611-G615</f>
        <v>#REF!</v>
      </c>
      <c r="H617" s="750" t="e">
        <f t="shared" si="3"/>
        <v>#REF!</v>
      </c>
      <c r="I617" s="795" t="e">
        <f t="shared" si="3"/>
        <v>#REF!</v>
      </c>
      <c r="J617" s="749" t="e">
        <f t="shared" si="3"/>
        <v>#REF!</v>
      </c>
      <c r="K617" s="750" t="e">
        <f t="shared" si="3"/>
        <v>#REF!</v>
      </c>
      <c r="L617" s="799" t="e">
        <f t="shared" si="3"/>
        <v>#REF!</v>
      </c>
    </row>
    <row r="618" spans="1:12">
      <c r="A618" s="1506" t="s">
        <v>120</v>
      </c>
      <c r="B618" s="1507"/>
      <c r="C618" s="1507"/>
      <c r="D618" s="749" t="e">
        <f t="shared" si="2"/>
        <v>#REF!</v>
      </c>
      <c r="E618" s="750">
        <v>0</v>
      </c>
      <c r="F618" s="751">
        <v>0</v>
      </c>
      <c r="G618" s="749" t="e">
        <f>G612-G616</f>
        <v>#REF!</v>
      </c>
      <c r="H618" s="750">
        <v>0</v>
      </c>
      <c r="I618" s="795">
        <v>0</v>
      </c>
      <c r="J618" s="749">
        <v>0</v>
      </c>
      <c r="K618" s="750">
        <v>0</v>
      </c>
      <c r="L618" s="799">
        <v>0</v>
      </c>
    </row>
    <row r="619" spans="1:12">
      <c r="A619" s="748" t="s">
        <v>740</v>
      </c>
      <c r="B619" s="278"/>
      <c r="C619" s="313"/>
      <c r="D619" s="311" t="s">
        <v>688</v>
      </c>
      <c r="E619" s="311" t="s">
        <v>688</v>
      </c>
      <c r="F619" s="311" t="s">
        <v>688</v>
      </c>
      <c r="G619" s="311" t="s">
        <v>689</v>
      </c>
      <c r="H619" s="311" t="s">
        <v>689</v>
      </c>
      <c r="I619" s="311" t="s">
        <v>689</v>
      </c>
      <c r="J619" s="311" t="s">
        <v>690</v>
      </c>
      <c r="K619" s="311" t="s">
        <v>690</v>
      </c>
      <c r="L619" s="443" t="s">
        <v>690</v>
      </c>
    </row>
    <row r="620" spans="1:12">
      <c r="A620" s="748" t="s">
        <v>665</v>
      </c>
      <c r="B620" s="278"/>
      <c r="C620" s="313"/>
      <c r="D620" s="312" t="s">
        <v>666</v>
      </c>
      <c r="E620" s="312" t="s">
        <v>667</v>
      </c>
      <c r="F620" s="312" t="s">
        <v>668</v>
      </c>
      <c r="G620" s="312" t="s">
        <v>666</v>
      </c>
      <c r="H620" s="312" t="s">
        <v>667</v>
      </c>
      <c r="I620" s="312" t="s">
        <v>668</v>
      </c>
      <c r="J620" s="312" t="s">
        <v>666</v>
      </c>
      <c r="K620" s="312" t="s">
        <v>667</v>
      </c>
      <c r="L620" s="776" t="s">
        <v>668</v>
      </c>
    </row>
    <row r="621" spans="1:12">
      <c r="A621" s="748" t="s">
        <v>669</v>
      </c>
      <c r="B621" s="278"/>
      <c r="C621" s="313"/>
      <c r="D621" s="759" t="e">
        <f>#REF!</f>
        <v>#REF!</v>
      </c>
      <c r="E621" s="759" t="e">
        <f>#REF!</f>
        <v>#REF!</v>
      </c>
      <c r="F621" s="759" t="e">
        <f>#REF!</f>
        <v>#REF!</v>
      </c>
      <c r="G621" s="759" t="e">
        <f>#REF!</f>
        <v>#REF!</v>
      </c>
      <c r="H621" s="759" t="e">
        <f>#REF!</f>
        <v>#REF!</v>
      </c>
      <c r="I621" s="759" t="e">
        <f>#REF!</f>
        <v>#REF!</v>
      </c>
      <c r="J621" s="759" t="e">
        <f>#REF!</f>
        <v>#REF!</v>
      </c>
      <c r="K621" s="759" t="e">
        <f>#REF!</f>
        <v>#REF!</v>
      </c>
      <c r="L621" s="777" t="e">
        <f>#REF!</f>
        <v>#REF!</v>
      </c>
    </row>
    <row r="622" spans="1:12">
      <c r="A622" s="748" t="s">
        <v>670</v>
      </c>
      <c r="B622" s="278"/>
      <c r="C622" s="313"/>
      <c r="D622" s="759" t="e">
        <f>+VLOOKUP(D606,#REF!,6,FALSE)</f>
        <v>#REF!</v>
      </c>
      <c r="E622" s="759" t="e">
        <f>+VLOOKUP(E606,#REF!,6,FALSE)</f>
        <v>#REF!</v>
      </c>
      <c r="F622" s="759" t="e">
        <f>+VLOOKUP(F606,#REF!,6,FALSE)</f>
        <v>#REF!</v>
      </c>
      <c r="G622" s="759" t="e">
        <f>+VLOOKUP(G606,#REF!,6,FALSE)</f>
        <v>#REF!</v>
      </c>
      <c r="H622" s="759" t="e">
        <f>+VLOOKUP(H606,#REF!,6,FALSE)</f>
        <v>#REF!</v>
      </c>
      <c r="I622" s="759" t="e">
        <f>+VLOOKUP(I606,#REF!,6,FALSE)</f>
        <v>#REF!</v>
      </c>
      <c r="J622" s="759" t="e">
        <f>+VLOOKUP(J606,#REF!,6,FALSE)</f>
        <v>#REF!</v>
      </c>
      <c r="K622" s="759" t="e">
        <f>+VLOOKUP(K606,#REF!,6,FALSE)</f>
        <v>#REF!</v>
      </c>
      <c r="L622" s="777" t="e">
        <f>+VLOOKUP(L606,#REF!,6,FALSE)</f>
        <v>#REF!</v>
      </c>
    </row>
    <row r="623" spans="1:12">
      <c r="A623" s="748" t="s">
        <v>918</v>
      </c>
      <c r="B623" s="278"/>
      <c r="C623" s="313"/>
      <c r="D623" s="749" t="e">
        <f>+VLOOKUP(D606,#REF!,3,FALSE)</f>
        <v>#REF!</v>
      </c>
      <c r="E623" s="750" t="e">
        <f>+VLOOKUP(E606,#REF!,3,FALSE)</f>
        <v>#REF!</v>
      </c>
      <c r="F623" s="751" t="e">
        <f>+VLOOKUP(F606,#REF!,3,FALSE)</f>
        <v>#REF!</v>
      </c>
      <c r="G623" s="749" t="e">
        <f>+VLOOKUP(G606,#REF!,3,FALSE)</f>
        <v>#REF!</v>
      </c>
      <c r="H623" s="750" t="e">
        <f>+VLOOKUP(H606,#REF!,3,FALSE)</f>
        <v>#REF!</v>
      </c>
      <c r="I623" s="795" t="e">
        <f>+VLOOKUP(I606,#REF!,3,FALSE)</f>
        <v>#REF!</v>
      </c>
      <c r="J623" s="749" t="e">
        <f>+VLOOKUP(J606,#REF!,3,FALSE)</f>
        <v>#REF!</v>
      </c>
      <c r="K623" s="750" t="e">
        <f>+VLOOKUP(K606,#REF!,3,FALSE)</f>
        <v>#REF!</v>
      </c>
      <c r="L623" s="799" t="e">
        <f>+VLOOKUP(L606,#REF!,3,FALSE)</f>
        <v>#REF!</v>
      </c>
    </row>
    <row r="624" spans="1:12">
      <c r="A624" s="423" t="s">
        <v>916</v>
      </c>
      <c r="B624" s="278"/>
      <c r="C624" s="313"/>
      <c r="D624" s="749" t="e">
        <f>+VLOOKUP(D606,#REF!,26,FALSE)</f>
        <v>#REF!</v>
      </c>
      <c r="E624" s="750" t="e">
        <f>+VLOOKUP(E606,#REF!,26,FALSE)</f>
        <v>#REF!</v>
      </c>
      <c r="F624" s="751" t="e">
        <f>+VLOOKUP(F606,#REF!,26,FALSE)</f>
        <v>#REF!</v>
      </c>
      <c r="G624" s="749" t="e">
        <f>+VLOOKUP(G606,#REF!,26,FALSE)</f>
        <v>#REF!</v>
      </c>
      <c r="H624" s="750" t="e">
        <f>+VLOOKUP(H606,#REF!,26,FALSE)</f>
        <v>#REF!</v>
      </c>
      <c r="I624" s="795" t="e">
        <f>+VLOOKUP(I606,#REF!,26,FALSE)</f>
        <v>#REF!</v>
      </c>
      <c r="J624" s="749" t="e">
        <f>+VLOOKUP(J606,#REF!,26,FALSE)</f>
        <v>#REF!</v>
      </c>
      <c r="K624" s="750" t="e">
        <f>+VLOOKUP(K606,#REF!,26,FALSE)</f>
        <v>#REF!</v>
      </c>
      <c r="L624" s="799" t="e">
        <f>+VLOOKUP(L606,#REF!,26,FALSE)</f>
        <v>#REF!</v>
      </c>
    </row>
    <row r="625" spans="1:40">
      <c r="A625" s="748" t="s">
        <v>671</v>
      </c>
      <c r="B625" s="278"/>
      <c r="C625" s="313"/>
      <c r="D625" s="749" t="e">
        <f>D623-D624</f>
        <v>#REF!</v>
      </c>
      <c r="E625" s="750" t="e">
        <f>E623-E624</f>
        <v>#REF!</v>
      </c>
      <c r="F625" s="751" t="e">
        <f>F623-F624</f>
        <v>#REF!</v>
      </c>
      <c r="G625" s="749" t="e">
        <f>G623-G624</f>
        <v>#REF!</v>
      </c>
      <c r="H625" s="750" t="e">
        <f>H623-H624</f>
        <v>#REF!</v>
      </c>
      <c r="I625" s="795" t="e">
        <f>ROUND(I623-I624,2)</f>
        <v>#REF!</v>
      </c>
      <c r="J625" s="749" t="e">
        <f>J623-J624</f>
        <v>#REF!</v>
      </c>
      <c r="K625" s="750" t="e">
        <f>ROUND(K623-K624,2)</f>
        <v>#REF!</v>
      </c>
      <c r="L625" s="799" t="e">
        <f>ROUND(L623-L624,2)</f>
        <v>#REF!</v>
      </c>
    </row>
    <row r="626" spans="1:40">
      <c r="A626" s="748" t="s">
        <v>691</v>
      </c>
      <c r="B626" s="278"/>
      <c r="C626" s="313"/>
      <c r="D626" s="749" t="e">
        <f>+VLOOKUP(D606,#REF!,11,FALSE)</f>
        <v>#REF!</v>
      </c>
      <c r="E626" s="750" t="e">
        <f>+VLOOKUP(E606,#REF!,11,FALSE)</f>
        <v>#REF!</v>
      </c>
      <c r="F626" s="751" t="e">
        <f>+VLOOKUP(F606,#REF!,11,FALSE)</f>
        <v>#REF!</v>
      </c>
      <c r="G626" s="749" t="e">
        <f>+VLOOKUP(G606,#REF!,11,FALSE)</f>
        <v>#REF!</v>
      </c>
      <c r="H626" s="750" t="e">
        <f>+ROUND(VLOOKUP(H606,#REF!,11,FALSE),2)</f>
        <v>#REF!</v>
      </c>
      <c r="I626" s="795" t="e">
        <f>+ROUND(VLOOKUP(I606,#REF!,11,FALSE),2)</f>
        <v>#REF!</v>
      </c>
      <c r="J626" s="749" t="e">
        <f>+VLOOKUP(J606,#REF!,11,FALSE)</f>
        <v>#REF!</v>
      </c>
      <c r="K626" s="750" t="e">
        <f>+VLOOKUP(K606,#REF!,11,FALSE)</f>
        <v>#REF!</v>
      </c>
      <c r="L626" s="799" t="e">
        <f>+ROUND(VLOOKUP(L606,#REF!,11,FALSE),2)</f>
        <v>#REF!</v>
      </c>
    </row>
    <row r="627" spans="1:40">
      <c r="A627" s="748" t="s">
        <v>672</v>
      </c>
      <c r="B627" s="278"/>
      <c r="C627" s="313"/>
      <c r="D627" s="424">
        <v>1.63</v>
      </c>
      <c r="E627" s="424">
        <v>2.72</v>
      </c>
      <c r="F627" s="424">
        <v>2.72</v>
      </c>
      <c r="G627" s="424">
        <v>1.63</v>
      </c>
      <c r="H627" s="424">
        <v>2.72</v>
      </c>
      <c r="I627" s="424">
        <v>2.72</v>
      </c>
      <c r="J627" s="424">
        <v>2.72</v>
      </c>
      <c r="K627" s="424">
        <v>2.72</v>
      </c>
      <c r="L627" s="442">
        <v>2.72</v>
      </c>
      <c r="M627" s="778"/>
      <c r="N627" s="778"/>
      <c r="O627" s="778"/>
      <c r="P627" s="779"/>
      <c r="Q627" s="778"/>
      <c r="R627" s="778"/>
      <c r="S627" s="778"/>
      <c r="T627" s="778"/>
      <c r="U627" s="778"/>
      <c r="V627" s="778"/>
      <c r="W627" s="778"/>
      <c r="X627" s="778"/>
      <c r="Y627" s="778"/>
      <c r="Z627" s="779"/>
      <c r="AA627" s="778"/>
      <c r="AB627" s="778"/>
      <c r="AC627" s="778"/>
      <c r="AD627" s="778"/>
      <c r="AE627" s="778"/>
      <c r="AF627" s="778"/>
      <c r="AG627" s="778"/>
      <c r="AH627" s="778"/>
      <c r="AI627" s="778"/>
      <c r="AJ627" s="778"/>
    </row>
    <row r="628" spans="1:40">
      <c r="A628" s="748" t="s">
        <v>673</v>
      </c>
      <c r="B628" s="278"/>
      <c r="C628" s="313"/>
      <c r="D628" s="761">
        <v>39864</v>
      </c>
      <c r="E628" s="761">
        <v>40229</v>
      </c>
      <c r="F628" s="761">
        <v>40229</v>
      </c>
      <c r="G628" s="761">
        <v>39864</v>
      </c>
      <c r="H628" s="761">
        <v>40229</v>
      </c>
      <c r="I628" s="761">
        <v>40229</v>
      </c>
      <c r="J628" s="761">
        <v>39864</v>
      </c>
      <c r="K628" s="761">
        <v>40229</v>
      </c>
      <c r="L628" s="801">
        <v>40229</v>
      </c>
      <c r="M628" s="122"/>
      <c r="N628" s="122"/>
      <c r="O628" s="122"/>
      <c r="P628" s="122"/>
      <c r="Q628" s="122"/>
      <c r="R628" s="122"/>
      <c r="S628" s="122"/>
      <c r="T628" s="122"/>
      <c r="U628" s="122"/>
      <c r="V628" s="122"/>
      <c r="W628" s="122"/>
      <c r="X628" s="122"/>
      <c r="Y628" s="122"/>
      <c r="Z628" s="122"/>
      <c r="AA628" s="122"/>
      <c r="AB628" s="122"/>
      <c r="AC628" s="122"/>
      <c r="AD628" s="122"/>
      <c r="AE628" s="122"/>
      <c r="AF628" s="122"/>
      <c r="AG628" s="122"/>
      <c r="AH628" s="122"/>
      <c r="AI628" s="122"/>
      <c r="AJ628" s="122"/>
      <c r="AK628" s="121"/>
      <c r="AL628" s="121"/>
      <c r="AM628" s="121"/>
      <c r="AN628" s="121"/>
    </row>
    <row r="629" spans="1:40">
      <c r="A629" s="748" t="s">
        <v>674</v>
      </c>
      <c r="B629" s="278"/>
      <c r="C629" s="313"/>
      <c r="D629" s="762">
        <v>40229</v>
      </c>
      <c r="E629" s="762">
        <v>40229</v>
      </c>
      <c r="F629" s="762">
        <v>40229</v>
      </c>
      <c r="G629" s="762">
        <v>40229</v>
      </c>
      <c r="H629" s="762">
        <v>40229</v>
      </c>
      <c r="I629" s="762">
        <v>40229</v>
      </c>
      <c r="J629" s="762">
        <v>40229</v>
      </c>
      <c r="K629" s="762">
        <v>40229</v>
      </c>
      <c r="L629" s="766">
        <v>40229</v>
      </c>
      <c r="M629" s="123"/>
      <c r="N629" s="123"/>
      <c r="O629" s="123"/>
      <c r="P629" s="123"/>
      <c r="Q629" s="123"/>
      <c r="R629" s="123"/>
      <c r="S629" s="123"/>
      <c r="T629" s="123"/>
      <c r="U629" s="123"/>
      <c r="V629" s="123"/>
      <c r="W629" s="123"/>
      <c r="X629" s="123"/>
      <c r="Y629" s="123"/>
      <c r="Z629" s="123"/>
      <c r="AA629" s="123"/>
      <c r="AB629" s="123"/>
      <c r="AC629" s="123"/>
      <c r="AD629" s="123"/>
      <c r="AE629" s="123"/>
      <c r="AF629" s="123"/>
      <c r="AG629" s="123"/>
      <c r="AH629" s="123"/>
      <c r="AI629" s="123"/>
      <c r="AJ629" s="123"/>
      <c r="AK629" s="121"/>
      <c r="AL629" s="121"/>
      <c r="AM629" s="121"/>
      <c r="AN629" s="121"/>
    </row>
    <row r="630" spans="1:40">
      <c r="A630" s="748" t="s">
        <v>675</v>
      </c>
      <c r="B630" s="278" t="s">
        <v>622</v>
      </c>
      <c r="C630" s="313"/>
      <c r="D630" s="762">
        <v>57304</v>
      </c>
      <c r="E630" s="762">
        <v>57304</v>
      </c>
      <c r="F630" s="762">
        <v>57304</v>
      </c>
      <c r="G630" s="762">
        <v>57304</v>
      </c>
      <c r="H630" s="762">
        <v>57304</v>
      </c>
      <c r="I630" s="762">
        <v>57304</v>
      </c>
      <c r="J630" s="762">
        <v>57304</v>
      </c>
      <c r="K630" s="762">
        <v>57304</v>
      </c>
      <c r="L630" s="766">
        <v>57304</v>
      </c>
    </row>
    <row r="631" spans="1:40">
      <c r="A631" s="425"/>
      <c r="B631" s="426"/>
      <c r="C631" s="802"/>
      <c r="D631" s="426"/>
      <c r="E631" s="427"/>
      <c r="F631" s="89"/>
      <c r="G631" s="780"/>
      <c r="H631" s="89"/>
      <c r="I631" s="89"/>
      <c r="J631" s="89"/>
      <c r="K631" s="89"/>
      <c r="L631" s="67"/>
    </row>
    <row r="632" spans="1:40">
      <c r="A632" s="114"/>
      <c r="C632" s="782"/>
      <c r="G632" s="751"/>
      <c r="H632" s="35"/>
      <c r="I632" s="35"/>
      <c r="J632" s="35"/>
      <c r="K632" s="35"/>
    </row>
    <row r="633" spans="1:40" ht="15.75" hidden="1">
      <c r="A633" s="856" t="s">
        <v>560</v>
      </c>
      <c r="B633" s="857"/>
      <c r="C633" s="858"/>
      <c r="D633" s="859" t="s">
        <v>521</v>
      </c>
      <c r="E633" s="859" t="s">
        <v>522</v>
      </c>
      <c r="F633" s="859" t="s">
        <v>523</v>
      </c>
      <c r="G633" s="860" t="s">
        <v>524</v>
      </c>
      <c r="H633" s="861"/>
      <c r="I633" s="861"/>
      <c r="J633" s="861"/>
      <c r="K633" s="861"/>
      <c r="L633" s="862"/>
    </row>
    <row r="634" spans="1:40" hidden="1">
      <c r="A634" s="863" t="s">
        <v>399</v>
      </c>
      <c r="B634" s="846"/>
      <c r="C634" s="848"/>
      <c r="D634" s="864" t="s">
        <v>561</v>
      </c>
      <c r="E634" s="864" t="s">
        <v>562</v>
      </c>
      <c r="F634" s="864" t="s">
        <v>563</v>
      </c>
      <c r="G634" s="865" t="s">
        <v>567</v>
      </c>
      <c r="H634" s="849"/>
      <c r="I634" s="849"/>
      <c r="J634" s="849"/>
      <c r="K634" s="849"/>
      <c r="L634" s="866"/>
    </row>
    <row r="635" spans="1:40" hidden="1">
      <c r="A635" s="863" t="s">
        <v>407</v>
      </c>
      <c r="B635" s="867"/>
      <c r="C635" s="868"/>
      <c r="D635" s="869">
        <v>42610895</v>
      </c>
      <c r="E635" s="869">
        <v>426113.1</v>
      </c>
      <c r="F635" s="869">
        <v>42611573</v>
      </c>
      <c r="G635" s="869">
        <v>42611689</v>
      </c>
      <c r="H635" s="849"/>
      <c r="I635" s="849"/>
      <c r="J635" s="849"/>
      <c r="K635" s="849"/>
      <c r="L635" s="866"/>
    </row>
    <row r="636" spans="1:40" hidden="1">
      <c r="A636" s="863" t="s">
        <v>658</v>
      </c>
      <c r="B636" s="846"/>
      <c r="C636" s="868"/>
      <c r="D636" s="865">
        <v>10285000000</v>
      </c>
      <c r="E636" s="865">
        <v>781200000</v>
      </c>
      <c r="F636" s="865">
        <v>439200000</v>
      </c>
      <c r="G636" s="865">
        <v>548450000</v>
      </c>
      <c r="H636" s="849"/>
      <c r="I636" s="849"/>
      <c r="J636" s="849"/>
      <c r="K636" s="849"/>
      <c r="L636" s="866"/>
    </row>
    <row r="637" spans="1:40" hidden="1">
      <c r="A637" s="863" t="s">
        <v>659</v>
      </c>
      <c r="B637" s="846"/>
      <c r="C637" s="868"/>
      <c r="D637" s="865" t="e">
        <f>#REF!</f>
        <v>#REF!</v>
      </c>
      <c r="E637" s="865" t="e">
        <f>#REF!</f>
        <v>#REF!</v>
      </c>
      <c r="F637" s="865" t="e">
        <f>#REF!</f>
        <v>#REF!</v>
      </c>
      <c r="G637" s="865" t="e">
        <f>#REF!</f>
        <v>#REF!</v>
      </c>
      <c r="H637" s="849"/>
      <c r="I637" s="849"/>
      <c r="J637" s="849"/>
      <c r="K637" s="849"/>
      <c r="L637" s="866"/>
    </row>
    <row r="638" spans="1:40" hidden="1">
      <c r="A638" s="863" t="s">
        <v>1062</v>
      </c>
      <c r="B638" s="846"/>
      <c r="C638" s="868"/>
      <c r="D638" s="865">
        <v>10285000000</v>
      </c>
      <c r="E638" s="865">
        <v>781200000</v>
      </c>
      <c r="F638" s="865">
        <v>439200000</v>
      </c>
      <c r="G638" s="865">
        <v>548450000</v>
      </c>
      <c r="H638" s="849"/>
      <c r="I638" s="849"/>
      <c r="J638" s="849"/>
      <c r="K638" s="849"/>
      <c r="L638" s="866"/>
    </row>
    <row r="639" spans="1:40" hidden="1">
      <c r="A639" s="863" t="s">
        <v>660</v>
      </c>
      <c r="B639" s="846"/>
      <c r="C639" s="868"/>
      <c r="D639" s="865">
        <v>0</v>
      </c>
      <c r="E639" s="865">
        <v>0</v>
      </c>
      <c r="F639" s="865">
        <v>0</v>
      </c>
      <c r="G639" s="865">
        <v>0</v>
      </c>
      <c r="H639" s="849"/>
      <c r="I639" s="849"/>
      <c r="J639" s="849"/>
      <c r="K639" s="849"/>
      <c r="L639" s="866"/>
    </row>
    <row r="640" spans="1:40" hidden="1">
      <c r="A640" s="863" t="s">
        <v>393</v>
      </c>
      <c r="B640" s="846"/>
      <c r="C640" s="870"/>
      <c r="D640" s="871">
        <v>0</v>
      </c>
      <c r="E640" s="871">
        <v>0</v>
      </c>
      <c r="F640" s="871">
        <v>0</v>
      </c>
      <c r="G640" s="871" t="e">
        <f>IF(#REF!="yes","N/A",#REF!)</f>
        <v>#REF!</v>
      </c>
      <c r="H640" s="849"/>
      <c r="I640" s="849"/>
      <c r="J640" s="849"/>
      <c r="K640" s="849"/>
      <c r="L640" s="866"/>
    </row>
    <row r="641" spans="1:12" hidden="1">
      <c r="A641" s="863" t="s">
        <v>394</v>
      </c>
      <c r="B641" s="846"/>
      <c r="C641" s="848"/>
      <c r="D641" s="871">
        <v>0</v>
      </c>
      <c r="E641" s="871">
        <v>0</v>
      </c>
      <c r="F641" s="871">
        <v>0</v>
      </c>
      <c r="G641" s="871" t="e">
        <f>#REF!</f>
        <v>#REF!</v>
      </c>
      <c r="H641" s="849"/>
      <c r="I641" s="849"/>
      <c r="J641" s="849"/>
      <c r="K641" s="849"/>
      <c r="L641" s="866"/>
    </row>
    <row r="642" spans="1:12" hidden="1">
      <c r="A642" s="863" t="s">
        <v>661</v>
      </c>
      <c r="B642" s="846"/>
      <c r="C642" s="848"/>
      <c r="D642" s="871" t="s">
        <v>557</v>
      </c>
      <c r="E642" s="864" t="s">
        <v>557</v>
      </c>
      <c r="F642" s="869" t="s">
        <v>557</v>
      </c>
      <c r="G642" s="869" t="s">
        <v>557</v>
      </c>
      <c r="H642" s="849"/>
      <c r="I642" s="849"/>
      <c r="J642" s="849"/>
      <c r="K642" s="849"/>
      <c r="L642" s="866"/>
    </row>
    <row r="643" spans="1:12" hidden="1">
      <c r="A643" s="863" t="s">
        <v>662</v>
      </c>
      <c r="B643" s="846"/>
      <c r="C643" s="848"/>
      <c r="D643" s="872">
        <f>D639</f>
        <v>0</v>
      </c>
      <c r="E643" s="872">
        <f>E639</f>
        <v>0</v>
      </c>
      <c r="F643" s="872">
        <f>F639</f>
        <v>0</v>
      </c>
      <c r="G643" s="872">
        <f>G639</f>
        <v>0</v>
      </c>
      <c r="H643" s="849"/>
      <c r="I643" s="849"/>
      <c r="J643" s="849"/>
      <c r="K643" s="849"/>
      <c r="L643" s="866"/>
    </row>
    <row r="644" spans="1:12" hidden="1">
      <c r="A644" s="863" t="s">
        <v>663</v>
      </c>
      <c r="B644" s="846"/>
      <c r="C644" s="848"/>
      <c r="D644" s="872">
        <v>0</v>
      </c>
      <c r="E644" s="872">
        <v>0</v>
      </c>
      <c r="F644" s="872">
        <v>0</v>
      </c>
      <c r="G644" s="872">
        <v>0</v>
      </c>
      <c r="H644" s="849"/>
      <c r="I644" s="849"/>
      <c r="J644" s="849"/>
      <c r="K644" s="849"/>
      <c r="L644" s="866"/>
    </row>
    <row r="645" spans="1:12" hidden="1">
      <c r="A645" s="873" t="s">
        <v>120</v>
      </c>
      <c r="B645" s="874"/>
      <c r="C645" s="874"/>
      <c r="D645" s="872">
        <f>D643</f>
        <v>0</v>
      </c>
      <c r="E645" s="872">
        <f>E643</f>
        <v>0</v>
      </c>
      <c r="F645" s="872">
        <f>F643</f>
        <v>0</v>
      </c>
      <c r="G645" s="872">
        <f>G643</f>
        <v>0</v>
      </c>
      <c r="H645" s="849"/>
      <c r="I645" s="849"/>
      <c r="J645" s="849"/>
      <c r="K645" s="849"/>
      <c r="L645" s="866"/>
    </row>
    <row r="646" spans="1:12" hidden="1">
      <c r="A646" s="863" t="s">
        <v>740</v>
      </c>
      <c r="B646" s="846"/>
      <c r="C646" s="848"/>
      <c r="D646" s="871" t="s">
        <v>664</v>
      </c>
      <c r="E646" s="864" t="s">
        <v>688</v>
      </c>
      <c r="F646" s="869" t="s">
        <v>689</v>
      </c>
      <c r="G646" s="869" t="s">
        <v>690</v>
      </c>
      <c r="H646" s="849"/>
      <c r="I646" s="849"/>
      <c r="J646" s="849"/>
      <c r="K646" s="849"/>
      <c r="L646" s="866"/>
    </row>
    <row r="647" spans="1:12" hidden="1">
      <c r="A647" s="863" t="s">
        <v>665</v>
      </c>
      <c r="B647" s="846"/>
      <c r="C647" s="848"/>
      <c r="D647" s="871" t="s">
        <v>568</v>
      </c>
      <c r="E647" s="871" t="s">
        <v>568</v>
      </c>
      <c r="F647" s="869" t="s">
        <v>568</v>
      </c>
      <c r="G647" s="869" t="s">
        <v>568</v>
      </c>
      <c r="H647" s="849"/>
      <c r="I647" s="849"/>
      <c r="J647" s="849"/>
      <c r="K647" s="849"/>
      <c r="L647" s="866"/>
    </row>
    <row r="648" spans="1:12" hidden="1">
      <c r="A648" s="863" t="s">
        <v>669</v>
      </c>
      <c r="B648" s="846"/>
      <c r="C648" s="848"/>
      <c r="D648" s="875" t="e">
        <f>#REF!</f>
        <v>#REF!</v>
      </c>
      <c r="E648" s="875" t="e">
        <f>#REF!</f>
        <v>#REF!</v>
      </c>
      <c r="F648" s="875" t="e">
        <f>#REF!</f>
        <v>#REF!</v>
      </c>
      <c r="G648" s="875" t="e">
        <f>#REF!</f>
        <v>#REF!</v>
      </c>
      <c r="H648" s="849"/>
      <c r="I648" s="849"/>
      <c r="J648" s="849"/>
      <c r="K648" s="849"/>
      <c r="L648" s="866"/>
    </row>
    <row r="649" spans="1:12" hidden="1">
      <c r="A649" s="863" t="s">
        <v>670</v>
      </c>
      <c r="B649" s="846"/>
      <c r="C649" s="848"/>
      <c r="D649" s="876" t="e">
        <f>#REF!</f>
        <v>#REF!</v>
      </c>
      <c r="E649" s="876" t="e">
        <f>#REF!</f>
        <v>#REF!</v>
      </c>
      <c r="F649" s="876" t="e">
        <f>#REF!</f>
        <v>#REF!</v>
      </c>
      <c r="G649" s="876" t="e">
        <f>#REF!</f>
        <v>#REF!</v>
      </c>
      <c r="H649" s="849"/>
      <c r="I649" s="849"/>
      <c r="J649" s="849"/>
      <c r="K649" s="849"/>
      <c r="L649" s="866"/>
    </row>
    <row r="650" spans="1:12" hidden="1">
      <c r="A650" s="863" t="s">
        <v>918</v>
      </c>
      <c r="B650" s="846"/>
      <c r="C650" s="848"/>
      <c r="D650" s="877" t="e">
        <f>#REF!</f>
        <v>#REF!</v>
      </c>
      <c r="E650" s="877" t="e">
        <f>#REF!</f>
        <v>#REF!</v>
      </c>
      <c r="F650" s="877" t="e">
        <f>#REF!</f>
        <v>#REF!</v>
      </c>
      <c r="G650" s="877" t="e">
        <f>#REF!</f>
        <v>#REF!</v>
      </c>
      <c r="H650" s="849"/>
      <c r="I650" s="849"/>
      <c r="J650" s="849"/>
      <c r="K650" s="849"/>
      <c r="L650" s="866"/>
    </row>
    <row r="651" spans="1:12" hidden="1">
      <c r="A651" s="878" t="s">
        <v>566</v>
      </c>
      <c r="B651" s="846"/>
      <c r="C651" s="848"/>
      <c r="D651" s="877" t="e">
        <f>#REF!</f>
        <v>#REF!</v>
      </c>
      <c r="E651" s="877" t="e">
        <f>#REF!</f>
        <v>#REF!</v>
      </c>
      <c r="F651" s="877" t="e">
        <f>#REF!</f>
        <v>#REF!</v>
      </c>
      <c r="G651" s="877" t="e">
        <f>#REF!</f>
        <v>#REF!</v>
      </c>
      <c r="H651" s="849" t="s">
        <v>426</v>
      </c>
      <c r="I651" s="849"/>
      <c r="J651" s="849"/>
      <c r="K651" s="849"/>
      <c r="L651" s="866"/>
    </row>
    <row r="652" spans="1:12" hidden="1">
      <c r="A652" s="863" t="s">
        <v>671</v>
      </c>
      <c r="B652" s="846"/>
      <c r="C652" s="848"/>
      <c r="D652" s="865" t="e">
        <f>D650-D651</f>
        <v>#REF!</v>
      </c>
      <c r="E652" s="865" t="e">
        <f>E650-E651</f>
        <v>#REF!</v>
      </c>
      <c r="F652" s="865" t="e">
        <f>F650-F651</f>
        <v>#REF!</v>
      </c>
      <c r="G652" s="865" t="e">
        <f>G650-G651</f>
        <v>#REF!</v>
      </c>
      <c r="H652" s="849" t="s">
        <v>427</v>
      </c>
      <c r="I652" s="849"/>
      <c r="J652" s="849"/>
      <c r="K652" s="849"/>
      <c r="L652" s="866"/>
    </row>
    <row r="653" spans="1:12" hidden="1">
      <c r="A653" s="863" t="s">
        <v>691</v>
      </c>
      <c r="B653" s="846"/>
      <c r="C653" s="848"/>
      <c r="D653" s="865" t="e">
        <f>D652+#REF!</f>
        <v>#REF!</v>
      </c>
      <c r="E653" s="865" t="e">
        <f>E652+#REF!</f>
        <v>#REF!</v>
      </c>
      <c r="F653" s="865" t="e">
        <f>F652+#REF!</f>
        <v>#REF!</v>
      </c>
      <c r="G653" s="865" t="e">
        <f>G652+#REF!</f>
        <v>#REF!</v>
      </c>
      <c r="H653" s="849"/>
      <c r="I653" s="849"/>
      <c r="J653" s="849"/>
      <c r="K653" s="849"/>
      <c r="L653" s="866"/>
    </row>
    <row r="654" spans="1:12" hidden="1">
      <c r="A654" s="863" t="s">
        <v>672</v>
      </c>
      <c r="B654" s="846"/>
      <c r="C654" s="848"/>
      <c r="D654" s="871" t="e">
        <f>(D655-#REF!)/365</f>
        <v>#REF!</v>
      </c>
      <c r="E654" s="871" t="e">
        <f>(E655-#REF!)/365</f>
        <v>#REF!</v>
      </c>
      <c r="F654" s="871" t="e">
        <f>(F655-#REF!)/365</f>
        <v>#REF!</v>
      </c>
      <c r="G654" s="871" t="e">
        <f>(G655-#REF!)/365</f>
        <v>#REF!</v>
      </c>
      <c r="H654" s="80"/>
      <c r="I654" s="80"/>
      <c r="J654" s="80"/>
      <c r="K654" s="80"/>
      <c r="L654" s="866"/>
    </row>
    <row r="655" spans="1:12" hidden="1">
      <c r="A655" s="863" t="s">
        <v>673</v>
      </c>
      <c r="B655" s="846"/>
      <c r="C655" s="848"/>
      <c r="D655" s="879">
        <v>41598</v>
      </c>
      <c r="E655" s="879">
        <v>41598</v>
      </c>
      <c r="F655" s="879">
        <v>41598</v>
      </c>
      <c r="G655" s="879">
        <v>41598</v>
      </c>
      <c r="H655" s="80"/>
      <c r="I655" s="80"/>
      <c r="J655" s="80"/>
      <c r="K655" s="80"/>
      <c r="L655" s="866"/>
    </row>
    <row r="656" spans="1:12" hidden="1">
      <c r="A656" s="863" t="s">
        <v>674</v>
      </c>
      <c r="B656" s="846"/>
      <c r="C656" s="848"/>
      <c r="D656" s="879">
        <v>41598</v>
      </c>
      <c r="E656" s="879">
        <v>41598</v>
      </c>
      <c r="F656" s="879">
        <v>41598</v>
      </c>
      <c r="G656" s="879">
        <v>41598</v>
      </c>
      <c r="H656" s="80"/>
      <c r="I656" s="80"/>
      <c r="J656" s="80"/>
      <c r="K656" s="80"/>
      <c r="L656" s="866"/>
    </row>
    <row r="657" spans="1:12" hidden="1">
      <c r="A657" s="880" t="s">
        <v>675</v>
      </c>
      <c r="B657" s="881" t="s">
        <v>622</v>
      </c>
      <c r="C657" s="882"/>
      <c r="D657" s="883">
        <v>57304</v>
      </c>
      <c r="E657" s="883">
        <v>57304</v>
      </c>
      <c r="F657" s="883">
        <v>57304</v>
      </c>
      <c r="G657" s="883">
        <v>57304</v>
      </c>
      <c r="H657" s="884"/>
      <c r="I657" s="884"/>
      <c r="J657" s="884"/>
      <c r="K657" s="884"/>
      <c r="L657" s="885"/>
    </row>
    <row r="658" spans="1:12">
      <c r="A658" s="33"/>
      <c r="B658" s="33"/>
      <c r="C658" s="33"/>
      <c r="G658" s="341"/>
    </row>
    <row r="659" spans="1:12">
      <c r="A659" s="337"/>
      <c r="G659" s="301"/>
    </row>
    <row r="660" spans="1:12" ht="15.75">
      <c r="A660" s="556" t="s">
        <v>374</v>
      </c>
      <c r="G660" s="301"/>
    </row>
    <row r="661" spans="1:12" ht="25.5">
      <c r="A661" s="272" t="s">
        <v>657</v>
      </c>
      <c r="B661" s="342" t="s">
        <v>1048</v>
      </c>
      <c r="C661" s="340" t="s">
        <v>1049</v>
      </c>
      <c r="D661" s="341" t="s">
        <v>734</v>
      </c>
      <c r="E661" s="341" t="s">
        <v>375</v>
      </c>
      <c r="F661" s="389" t="s">
        <v>735</v>
      </c>
      <c r="G661" s="341" t="s">
        <v>974</v>
      </c>
    </row>
    <row r="662" spans="1:12">
      <c r="A662" s="285" t="s">
        <v>692</v>
      </c>
      <c r="B662" s="343" t="e">
        <f>(+SUMIF(GMF2_NoteClass,"A",GBP_GMF2_LN_Outstanding)+SUMIF(GMF3_NoteClass,"A",GBP_GMF3_LN_Outstanding))</f>
        <v>#REF!</v>
      </c>
      <c r="C662" s="294" t="e">
        <f>+ROUND(B662/SUM($B$662:$B$666),2)</f>
        <v>#REF!</v>
      </c>
      <c r="D662" s="344" t="e">
        <f>+ROUND(SUM(B663:$B$666)+$B$685,2)</f>
        <v>#REF!</v>
      </c>
      <c r="E662" s="301" t="e">
        <f>+D662/SUM($B$662:$B$666)</f>
        <v>#REF!</v>
      </c>
      <c r="F662" s="343" t="e">
        <f>ROUND(+G662*SUM($B$662:$B$666),2)</f>
        <v>#REF!</v>
      </c>
      <c r="G662" s="301">
        <v>0.10150000000000001</v>
      </c>
    </row>
    <row r="663" spans="1:12">
      <c r="A663" s="285" t="s">
        <v>88</v>
      </c>
      <c r="B663" s="343" t="e">
        <f>(+SUMIF(GMF2_NoteClass,"B",GBP_GMF2_LN_Outstanding)+SUMIF(GMF3_NoteClass,"B",GBP_GMF3_LN_Outstanding))</f>
        <v>#REF!</v>
      </c>
      <c r="C663" s="294" t="e">
        <f>+ROUND(B663/SUM($B$662:$B$666),2)</f>
        <v>#REF!</v>
      </c>
      <c r="D663" s="344" t="e">
        <f>+ROUND(SUM(B664:$B$666)+$B$685,2)</f>
        <v>#REF!</v>
      </c>
      <c r="E663" s="301" t="e">
        <f>+D663/SUM($B$662:$B$666)</f>
        <v>#REF!</v>
      </c>
      <c r="F663" s="343" t="e">
        <f>ROUND(+G663*SUM($B$662:$B$666),2)</f>
        <v>#REF!</v>
      </c>
      <c r="G663" s="301">
        <v>7.1499999999999994E-2</v>
      </c>
    </row>
    <row r="664" spans="1:12">
      <c r="A664" s="285" t="s">
        <v>368</v>
      </c>
      <c r="B664" s="343" t="e">
        <f>(+SUMIF(GMF2_NoteClass,"C",GBP_GMF2_LN_Outstanding)+SUMIF(GMF3_NoteClass,"C",GBP_GMF3_LN_Outstanding))</f>
        <v>#REF!</v>
      </c>
      <c r="C664" s="294" t="e">
        <f>+ROUND(B664/SUM($B$662:$B$666),2)</f>
        <v>#REF!</v>
      </c>
      <c r="D664" s="344" t="e">
        <f>+ROUND(SUM(B665:$B$666)+$B$685,2)</f>
        <v>#REF!</v>
      </c>
      <c r="E664" s="301" t="e">
        <f>+D664/SUM($B$662:$B$666)</f>
        <v>#REF!</v>
      </c>
      <c r="F664" s="343" t="e">
        <f>ROUND(+G664*SUM($B$662:$B$666),2)</f>
        <v>#REF!</v>
      </c>
      <c r="G664" s="301">
        <v>4.5499999999999999E-2</v>
      </c>
    </row>
    <row r="665" spans="1:12">
      <c r="A665" s="285" t="s">
        <v>369</v>
      </c>
      <c r="B665" s="343" t="e">
        <f>(+SUMIF(GMF2_NoteClass,"D",GBP_GMF2_LN_Outstanding)+SUMIF(GMF3_NoteClass,"D",GBP_GMF3_LN_Outstanding))</f>
        <v>#REF!</v>
      </c>
      <c r="C665" s="294" t="e">
        <f>+ROUND(B665/SUM($B$662:$B$666),2)</f>
        <v>#REF!</v>
      </c>
      <c r="D665" s="344" t="e">
        <f>+ROUND(SUM(B666:$B666)+$B$685,2)</f>
        <v>#REF!</v>
      </c>
      <c r="E665" s="301" t="e">
        <f>+D665/SUM($B$662:$B$666)</f>
        <v>#REF!</v>
      </c>
      <c r="F665" s="343" t="e">
        <f>ROUND(+G665*SUM($B$662:$B$666),2)</f>
        <v>#REF!</v>
      </c>
      <c r="G665" s="301">
        <v>1.2500000000000001E-2</v>
      </c>
    </row>
    <row r="666" spans="1:12">
      <c r="A666" s="285" t="s">
        <v>1064</v>
      </c>
      <c r="B666" s="343" t="e">
        <f>#REF!</f>
        <v>#REF!</v>
      </c>
      <c r="C666" s="294" t="e">
        <f>+ROUND(B666/SUM($B$662:$B$666),2)</f>
        <v>#REF!</v>
      </c>
      <c r="D666" s="344" t="e">
        <f>+ROUND(SUM(B667:$B667)+$B$685,2)</f>
        <v>#REF!</v>
      </c>
      <c r="E666" s="301" t="e">
        <f>+D666/SUM($B$662:$B$666)</f>
        <v>#REF!</v>
      </c>
      <c r="F666" s="343"/>
      <c r="G666" s="301"/>
    </row>
    <row r="667" spans="1:12" ht="12" customHeight="1">
      <c r="A667" s="285"/>
      <c r="C667" s="56"/>
      <c r="D667" s="294"/>
    </row>
    <row r="669" spans="1:12">
      <c r="A669" s="273" t="s">
        <v>121</v>
      </c>
      <c r="B669" s="277"/>
      <c r="C669" s="277"/>
      <c r="D669" s="308"/>
      <c r="E669" s="308"/>
      <c r="F669" s="308"/>
    </row>
    <row r="670" spans="1:12">
      <c r="A670" s="289" t="s">
        <v>975</v>
      </c>
      <c r="B670" s="289"/>
      <c r="C670" s="289"/>
      <c r="D670" s="289"/>
      <c r="E670" s="289"/>
      <c r="F670" s="289"/>
    </row>
    <row r="671" spans="1:12">
      <c r="A671" s="289" t="s">
        <v>976</v>
      </c>
      <c r="B671" s="308"/>
      <c r="C671" s="308"/>
      <c r="D671" s="308"/>
      <c r="E671" s="308"/>
      <c r="F671" s="308"/>
    </row>
    <row r="672" spans="1:12">
      <c r="A672" s="273" t="s">
        <v>489</v>
      </c>
      <c r="B672" s="345"/>
      <c r="C672" s="345"/>
      <c r="D672" s="345"/>
    </row>
    <row r="674" spans="1:7">
      <c r="A674" s="273" t="s">
        <v>972</v>
      </c>
    </row>
    <row r="675" spans="1:7">
      <c r="A675" s="273" t="s">
        <v>971</v>
      </c>
    </row>
    <row r="676" spans="1:7">
      <c r="A676" s="273" t="s">
        <v>47</v>
      </c>
    </row>
    <row r="677" spans="1:7" ht="12" customHeight="1">
      <c r="A677" s="273" t="s">
        <v>977</v>
      </c>
    </row>
    <row r="678" spans="1:7">
      <c r="A678" s="273" t="s">
        <v>973</v>
      </c>
    </row>
    <row r="682" spans="1:7" ht="15.75">
      <c r="A682" s="530" t="s">
        <v>693</v>
      </c>
      <c r="B682" s="346" t="s">
        <v>9</v>
      </c>
      <c r="F682" s="288"/>
    </row>
    <row r="683" spans="1:7">
      <c r="A683" s="285" t="s">
        <v>694</v>
      </c>
      <c r="B683" s="295" t="e">
        <f>+#REF!</f>
        <v>#REF!</v>
      </c>
      <c r="D683" s="285"/>
      <c r="F683" s="295"/>
      <c r="G683" s="742"/>
    </row>
    <row r="684" spans="1:7">
      <c r="A684" s="285" t="s">
        <v>695</v>
      </c>
      <c r="B684" s="295" t="e">
        <f>#REF!</f>
        <v>#REF!</v>
      </c>
      <c r="F684" s="36"/>
      <c r="G684" s="34"/>
    </row>
    <row r="685" spans="1:7">
      <c r="A685" s="285" t="s">
        <v>696</v>
      </c>
      <c r="B685" s="295" t="e">
        <f>+#REF!</f>
        <v>#REF!</v>
      </c>
      <c r="D685" s="280"/>
      <c r="F685" s="36"/>
    </row>
    <row r="686" spans="1:7">
      <c r="A686" s="285" t="s">
        <v>29</v>
      </c>
      <c r="B686" s="305" t="e">
        <f>+B685-B684</f>
        <v>#REF!</v>
      </c>
    </row>
    <row r="687" spans="1:7">
      <c r="A687" s="285"/>
      <c r="B687" s="295"/>
    </row>
    <row r="688" spans="1:7" ht="14.25">
      <c r="A688" s="362"/>
      <c r="C688" s="301"/>
    </row>
    <row r="689" spans="1:4" ht="14.25">
      <c r="A689" s="733"/>
      <c r="B689" s="734"/>
      <c r="C689" s="734"/>
      <c r="D689" s="734"/>
    </row>
    <row r="690" spans="1:4" ht="14.25">
      <c r="A690" s="733"/>
      <c r="B690" s="735"/>
      <c r="C690" s="735"/>
      <c r="D690" s="735"/>
    </row>
    <row r="691" spans="1:4" ht="15.75">
      <c r="A691" s="530" t="s">
        <v>697</v>
      </c>
      <c r="B691" s="734" t="s">
        <v>499</v>
      </c>
      <c r="C691" s="734" t="s">
        <v>500</v>
      </c>
      <c r="D691" s="734" t="s">
        <v>501</v>
      </c>
    </row>
    <row r="692" spans="1:4">
      <c r="A692" s="886"/>
      <c r="B692" s="346" t="s">
        <v>9</v>
      </c>
      <c r="C692" s="346" t="s">
        <v>9</v>
      </c>
      <c r="D692" s="346" t="s">
        <v>9</v>
      </c>
    </row>
    <row r="693" spans="1:4">
      <c r="A693" s="52" t="s">
        <v>698</v>
      </c>
      <c r="B693" s="736">
        <f>'[7]Quarterly Report'!$D$698</f>
        <v>7996084.8000000212</v>
      </c>
      <c r="C693" s="887" t="e">
        <f>+B698</f>
        <v>#REF!</v>
      </c>
      <c r="D693" s="295" t="e">
        <f>+C698</f>
        <v>#REF!</v>
      </c>
    </row>
    <row r="694" spans="1:4" ht="25.5">
      <c r="A694" s="49" t="s">
        <v>699</v>
      </c>
      <c r="B694" s="737" t="e">
        <f>#REF!</f>
        <v>#REF!</v>
      </c>
      <c r="C694" s="737">
        <v>0</v>
      </c>
      <c r="D694" s="737" t="e">
        <f>#REF!</f>
        <v>#REF!</v>
      </c>
    </row>
    <row r="695" spans="1:4">
      <c r="A695" s="52" t="s">
        <v>624</v>
      </c>
      <c r="B695" s="738">
        <f>'[6]Trust Waterfalls'!$B$75</f>
        <v>240.94</v>
      </c>
      <c r="C695" s="738">
        <f>'[5]Trust Waterfalls'!$B$75</f>
        <v>113.84</v>
      </c>
      <c r="D695" s="901">
        <f>'[3]Trust Waterfalls'!$B$75</f>
        <v>74.37</v>
      </c>
    </row>
    <row r="696" spans="1:4">
      <c r="A696" s="52" t="s">
        <v>625</v>
      </c>
      <c r="B696" s="738">
        <f>'[6]Trust Waterfalls'!$B$78</f>
        <v>0</v>
      </c>
      <c r="C696" s="738">
        <f>'[5]Trust Waterfalls'!$B$78</f>
        <v>0</v>
      </c>
      <c r="D696" s="901">
        <f>'[3]Trust Waterfalls'!$B$78</f>
        <v>0</v>
      </c>
    </row>
    <row r="697" spans="1:4">
      <c r="A697" s="52" t="s">
        <v>626</v>
      </c>
      <c r="B697" s="739">
        <f>'[6]Trust Waterfalls'!$B$79</f>
        <v>0</v>
      </c>
      <c r="C697" s="739">
        <f>'[5]Trust Waterfalls'!$B$79</f>
        <v>0</v>
      </c>
      <c r="D697" s="902">
        <f>'[3]Trust Waterfalls'!$B$79</f>
        <v>0</v>
      </c>
    </row>
    <row r="698" spans="1:4" ht="13.5" thickBot="1">
      <c r="A698" s="285" t="s">
        <v>627</v>
      </c>
      <c r="B698" s="298" t="e">
        <f>+B693+B694-B695-B696-B697</f>
        <v>#REF!</v>
      </c>
      <c r="C698" s="298" t="e">
        <f>+C693+C694-C695-C696-C697</f>
        <v>#REF!</v>
      </c>
      <c r="D698" s="298" t="e">
        <f>+D693+D694-D695-D696-D697</f>
        <v>#REF!</v>
      </c>
    </row>
    <row r="699" spans="1:4" ht="13.5" thickTop="1">
      <c r="A699" s="284"/>
      <c r="D699" s="112"/>
    </row>
    <row r="700" spans="1:4">
      <c r="A700" s="33"/>
      <c r="D700" s="112"/>
    </row>
    <row r="701" spans="1:4">
      <c r="A701" s="285"/>
    </row>
    <row r="702" spans="1:4" ht="38.25">
      <c r="A702" s="48" t="s">
        <v>1050</v>
      </c>
      <c r="B702" s="347" t="s">
        <v>97</v>
      </c>
      <c r="C702" s="108"/>
    </row>
    <row r="703" spans="1:4">
      <c r="A703" s="48"/>
      <c r="B703" s="347"/>
      <c r="C703" s="108"/>
    </row>
    <row r="704" spans="1:4">
      <c r="A704" s="48" t="s">
        <v>628</v>
      </c>
      <c r="B704" s="348" t="s">
        <v>565</v>
      </c>
    </row>
    <row r="705" spans="1:6">
      <c r="F705" s="51"/>
    </row>
    <row r="706" spans="1:6">
      <c r="F706" s="51"/>
    </row>
    <row r="707" spans="1:6">
      <c r="A707" s="115" t="s">
        <v>25</v>
      </c>
    </row>
    <row r="708" spans="1:6">
      <c r="A708" s="115" t="s">
        <v>785</v>
      </c>
    </row>
    <row r="709" spans="1:6">
      <c r="A709" s="116" t="s">
        <v>741</v>
      </c>
      <c r="B709" s="117"/>
      <c r="C709" s="118">
        <v>439278802.38999999</v>
      </c>
      <c r="D709" s="59" t="s">
        <v>629</v>
      </c>
    </row>
    <row r="710" spans="1:6">
      <c r="A710" s="116" t="s">
        <v>784</v>
      </c>
      <c r="B710" s="117"/>
      <c r="C710" s="118">
        <v>1565155.59</v>
      </c>
      <c r="D710" s="59" t="s">
        <v>629</v>
      </c>
    </row>
    <row r="711" spans="1:6">
      <c r="A711" s="116" t="s">
        <v>630</v>
      </c>
      <c r="B711" s="117"/>
      <c r="C711" s="196">
        <v>7724191994.8500004</v>
      </c>
      <c r="D711" s="59" t="s">
        <v>629</v>
      </c>
    </row>
    <row r="712" spans="1:6">
      <c r="A712" s="116" t="s">
        <v>631</v>
      </c>
      <c r="B712" s="117"/>
      <c r="C712" s="195">
        <v>152991218.19999999</v>
      </c>
      <c r="D712" s="59" t="s">
        <v>629</v>
      </c>
    </row>
    <row r="713" spans="1:6">
      <c r="C713" s="112"/>
    </row>
    <row r="714" spans="1:6">
      <c r="C714" s="112"/>
    </row>
    <row r="715" spans="1:6">
      <c r="A715" s="115" t="s">
        <v>540</v>
      </c>
    </row>
    <row r="716" spans="1:6">
      <c r="A716" s="69" t="s">
        <v>632</v>
      </c>
      <c r="B716" s="107">
        <v>5388587.0599999996</v>
      </c>
    </row>
    <row r="717" spans="1:6">
      <c r="A717" s="69" t="s">
        <v>633</v>
      </c>
      <c r="B717" s="107">
        <v>1108.02</v>
      </c>
      <c r="C717" s="34"/>
      <c r="D717" s="109"/>
      <c r="E717" s="108"/>
    </row>
    <row r="718" spans="1:6">
      <c r="A718" s="69" t="s">
        <v>634</v>
      </c>
      <c r="B718" s="107">
        <v>242632597.91999999</v>
      </c>
      <c r="D718" s="109"/>
      <c r="E718" s="108"/>
    </row>
    <row r="719" spans="1:6">
      <c r="A719" s="69" t="s">
        <v>635</v>
      </c>
      <c r="B719" s="107">
        <v>42873.35</v>
      </c>
    </row>
    <row r="720" spans="1:6">
      <c r="A720" s="69" t="s">
        <v>636</v>
      </c>
      <c r="B720" s="107">
        <v>0</v>
      </c>
    </row>
    <row r="721" spans="1:6">
      <c r="A721" s="69" t="s">
        <v>637</v>
      </c>
      <c r="B721" s="107">
        <v>0</v>
      </c>
      <c r="C721" s="34"/>
    </row>
    <row r="722" spans="1:6">
      <c r="A722" s="69" t="s">
        <v>638</v>
      </c>
      <c r="B722" s="107">
        <v>-52449.59</v>
      </c>
    </row>
    <row r="723" spans="1:6">
      <c r="A723" s="69" t="s">
        <v>639</v>
      </c>
      <c r="B723" s="107">
        <v>0</v>
      </c>
    </row>
    <row r="724" spans="1:6">
      <c r="A724" s="69" t="s">
        <v>636</v>
      </c>
      <c r="B724" s="107">
        <v>0</v>
      </c>
    </row>
    <row r="725" spans="1:6">
      <c r="A725" s="69" t="s">
        <v>640</v>
      </c>
      <c r="B725" s="107">
        <v>-52449.59</v>
      </c>
      <c r="C725" s="34"/>
    </row>
    <row r="726" spans="1:6" ht="26.25" thickBot="1">
      <c r="A726" s="81" t="s">
        <v>786</v>
      </c>
      <c r="B726" s="113">
        <f>+B716-B717+B718-B719+B722-B723</f>
        <v>247924754.01999998</v>
      </c>
      <c r="E726" s="33"/>
    </row>
    <row r="727" spans="1:6" ht="13.5" thickTop="1">
      <c r="D727" s="648" t="s">
        <v>24</v>
      </c>
      <c r="E727" s="33"/>
      <c r="F727" s="193"/>
    </row>
    <row r="728" spans="1:6">
      <c r="D728" s="107" t="s">
        <v>715</v>
      </c>
      <c r="E728" s="33"/>
      <c r="F728" s="193"/>
    </row>
    <row r="729" spans="1:6">
      <c r="A729" s="115" t="s">
        <v>787</v>
      </c>
      <c r="D729" s="107">
        <f>92-80</f>
        <v>12</v>
      </c>
      <c r="E729" s="36" t="e">
        <f>+#REF!+#REF!</f>
        <v>#REF!</v>
      </c>
      <c r="F729" s="193" t="s">
        <v>716</v>
      </c>
    </row>
    <row r="730" spans="1:6">
      <c r="A730" s="69" t="s">
        <v>738</v>
      </c>
      <c r="B730" s="59" t="e">
        <f>+(C432/E729)</f>
        <v>#REF!</v>
      </c>
      <c r="D730" s="107">
        <v>80</v>
      </c>
      <c r="E730" s="36" t="e">
        <f>+#REF!+#REF!+#REF!</f>
        <v>#REF!</v>
      </c>
      <c r="F730" s="194" t="s">
        <v>23</v>
      </c>
    </row>
    <row r="731" spans="1:6" ht="13.5" thickBot="1">
      <c r="A731" s="69" t="s">
        <v>739</v>
      </c>
      <c r="B731" s="56" t="e">
        <f>+((#REF!-#REF!)*#REF!+#REF!*(#REF!+#REF!))/#REF!</f>
        <v>#REF!</v>
      </c>
      <c r="D731" s="361" t="s">
        <v>484</v>
      </c>
      <c r="E731" s="360" t="e">
        <f>+SUMPRODUCT(D729:D730,E729:E730)/SUM(D729:D730)</f>
        <v>#REF!</v>
      </c>
      <c r="F731" s="194"/>
    </row>
    <row r="732" spans="1:6" ht="13.5" thickTop="1">
      <c r="E732" s="33"/>
      <c r="F732" s="194"/>
    </row>
    <row r="733" spans="1:6">
      <c r="A733" s="115" t="s">
        <v>788</v>
      </c>
    </row>
    <row r="734" spans="1:6">
      <c r="A734" s="115" t="s">
        <v>654</v>
      </c>
      <c r="B734" s="349" t="e">
        <f>+#REF!</f>
        <v>#REF!</v>
      </c>
      <c r="C734" s="119" t="e">
        <f>+D9</f>
        <v>#REF!</v>
      </c>
    </row>
    <row r="735" spans="1:6">
      <c r="A735" s="69" t="s">
        <v>641</v>
      </c>
      <c r="B735" s="350">
        <v>8.2194999999999994E-3</v>
      </c>
      <c r="C735" s="59" t="s">
        <v>653</v>
      </c>
    </row>
    <row r="736" spans="1:6">
      <c r="A736" s="69" t="s">
        <v>642</v>
      </c>
      <c r="B736" s="351">
        <v>4.0000000000000001E-3</v>
      </c>
    </row>
    <row r="737" spans="1:4">
      <c r="A737" s="286" t="s">
        <v>643</v>
      </c>
      <c r="B737" s="349" t="e">
        <f>+B734+(B735+B736)/2</f>
        <v>#REF!</v>
      </c>
    </row>
    <row r="738" spans="1:4">
      <c r="A738" s="69" t="s">
        <v>644</v>
      </c>
      <c r="B738" s="107" t="e">
        <f>+#REF!</f>
        <v>#REF!</v>
      </c>
    </row>
    <row r="739" spans="1:4" ht="13.5" thickBot="1">
      <c r="A739" s="69" t="s">
        <v>645</v>
      </c>
      <c r="B739" s="113" t="e">
        <f>+B737*B738</f>
        <v>#REF!</v>
      </c>
    </row>
    <row r="740" spans="1:4" ht="13.5" thickTop="1">
      <c r="A740" s="286" t="s">
        <v>778</v>
      </c>
    </row>
    <row r="741" spans="1:4">
      <c r="A741" s="69" t="s">
        <v>646</v>
      </c>
    </row>
    <row r="742" spans="1:4">
      <c r="A742" s="69" t="s">
        <v>647</v>
      </c>
      <c r="B742" s="349" t="e">
        <f>+#REF!</f>
        <v>#REF!</v>
      </c>
    </row>
    <row r="743" spans="1:4">
      <c r="A743" s="69" t="s">
        <v>648</v>
      </c>
      <c r="B743" s="107" t="e">
        <f>+ROUND(SUM(#REF!),2)</f>
        <v>#REF!</v>
      </c>
    </row>
    <row r="744" spans="1:4">
      <c r="B744" s="107" t="e">
        <f>+ROUND(B742*B743,2)</f>
        <v>#REF!</v>
      </c>
    </row>
    <row r="745" spans="1:4">
      <c r="A745" s="69" t="s">
        <v>649</v>
      </c>
      <c r="B745" s="107" t="e">
        <f>+#REF!</f>
        <v>#REF!</v>
      </c>
    </row>
    <row r="746" spans="1:4">
      <c r="A746" s="286" t="s">
        <v>650</v>
      </c>
    </row>
    <row r="747" spans="1:4">
      <c r="A747" s="286" t="s">
        <v>652</v>
      </c>
    </row>
    <row r="748" spans="1:4">
      <c r="A748" s="286" t="s">
        <v>651</v>
      </c>
      <c r="B748" s="33"/>
    </row>
    <row r="749" spans="1:4" ht="13.5" thickBot="1">
      <c r="A749" s="69" t="s">
        <v>122</v>
      </c>
      <c r="B749" s="352" t="e">
        <f>+ROUND(B739-B744-B745,2)</f>
        <v>#REF!</v>
      </c>
      <c r="D749" s="107" t="s">
        <v>622</v>
      </c>
    </row>
    <row r="750" spans="1:4" ht="13.5" thickTop="1"/>
  </sheetData>
  <mergeCells count="26">
    <mergeCell ref="A618:C618"/>
    <mergeCell ref="D392:E392"/>
    <mergeCell ref="A436:C437"/>
    <mergeCell ref="A516:F516"/>
    <mergeCell ref="B455:C455"/>
    <mergeCell ref="A562:C562"/>
    <mergeCell ref="A590:C590"/>
    <mergeCell ref="A401:E401"/>
    <mergeCell ref="F401:G401"/>
    <mergeCell ref="F410:G416"/>
    <mergeCell ref="E17:G17"/>
    <mergeCell ref="A382:B382"/>
    <mergeCell ref="A353:B353"/>
    <mergeCell ref="A357:B357"/>
    <mergeCell ref="B18:D18"/>
    <mergeCell ref="A371:K371"/>
    <mergeCell ref="A381:B381"/>
    <mergeCell ref="E18:G18"/>
    <mergeCell ref="B19:D19"/>
    <mergeCell ref="B20:D20"/>
    <mergeCell ref="A388:C388"/>
    <mergeCell ref="A393:C393"/>
    <mergeCell ref="A13:D13"/>
    <mergeCell ref="B16:D16"/>
    <mergeCell ref="B17:D17"/>
    <mergeCell ref="B21:D21"/>
  </mergeCells>
  <phoneticPr fontId="3" type="noConversion"/>
  <pageMargins left="0.66" right="0.15748031496062992" top="0.47244094488188981" bottom="0.11811023622047245" header="0" footer="0.17"/>
  <pageSetup paperSize="9" scale="41" fitToHeight="27" orientation="landscape" r:id="rId1"/>
  <headerFooter alignWithMargins="0">
    <oddFooter>&amp;CPage &amp;P of &amp;N</oddFooter>
  </headerFooter>
  <rowBreaks count="9" manualBreakCount="9">
    <brk id="63" max="12" man="1"/>
    <brk id="152" max="12" man="1"/>
    <brk id="234" max="12" man="1"/>
    <brk id="311" max="12" man="1"/>
    <brk id="373" max="12" man="1"/>
    <brk id="442" max="12" man="1"/>
    <brk id="517" max="12" man="1"/>
    <brk id="576" max="12" man="1"/>
    <brk id="631" max="12" man="1"/>
  </rowBreaks>
  <legacyDrawing r:id="rId2"/>
</worksheet>
</file>

<file path=xl/worksheets/sheet10.xml><?xml version="1.0" encoding="utf-8"?>
<worksheet xmlns="http://schemas.openxmlformats.org/spreadsheetml/2006/main" xmlns:r="http://schemas.openxmlformats.org/officeDocument/2006/relationships">
  <sheetPr codeName="Sheet12">
    <pageSetUpPr fitToPage="1"/>
  </sheetPr>
  <dimension ref="A1:S62"/>
  <sheetViews>
    <sheetView topLeftCell="A22" workbookViewId="0">
      <selection activeCell="B18" sqref="B18"/>
    </sheetView>
  </sheetViews>
  <sheetFormatPr defaultRowHeight="12.75"/>
  <cols>
    <col min="1" max="1" width="30.42578125" bestFit="1" customWidth="1"/>
    <col min="2" max="2" width="14.42578125" customWidth="1"/>
    <col min="3" max="3" width="16.28515625" bestFit="1" customWidth="1"/>
    <col min="4" max="4" width="21.28515625" customWidth="1"/>
    <col min="5" max="5" width="16.42578125" bestFit="1" customWidth="1"/>
    <col min="6" max="7" width="14" customWidth="1"/>
    <col min="8" max="8" width="30.5703125" customWidth="1"/>
    <col min="9" max="10" width="15.5703125" customWidth="1"/>
    <col min="11" max="11" width="15.5703125" bestFit="1" customWidth="1"/>
    <col min="12" max="14" width="15.5703125" customWidth="1"/>
    <col min="15" max="15" width="14.42578125" customWidth="1"/>
    <col min="16" max="16" width="22.28515625" bestFit="1" customWidth="1"/>
    <col min="17" max="17" width="11.85546875" customWidth="1"/>
    <col min="18" max="18" width="22.28515625" bestFit="1" customWidth="1"/>
    <col min="19" max="19" width="14" bestFit="1" customWidth="1"/>
  </cols>
  <sheetData>
    <row r="1" spans="1:19">
      <c r="A1" s="92" t="s">
        <v>502</v>
      </c>
    </row>
    <row r="2" spans="1:19">
      <c r="A2" s="128" t="s">
        <v>503</v>
      </c>
      <c r="B2" s="146" t="e">
        <f>+#REF!</f>
        <v>#REF!</v>
      </c>
      <c r="C2" t="e">
        <f>+#REF!</f>
        <v>#REF!</v>
      </c>
      <c r="D2" s="192" t="e">
        <f>+B2-C2</f>
        <v>#REF!</v>
      </c>
      <c r="E2" s="129"/>
    </row>
    <row r="3" spans="1:19">
      <c r="A3" s="128" t="s">
        <v>504</v>
      </c>
      <c r="B3" s="147" t="e">
        <f>+#REF!</f>
        <v>#REF!</v>
      </c>
      <c r="C3" s="128" t="e">
        <f>+#REF!</f>
        <v>#REF!</v>
      </c>
      <c r="D3" s="192" t="e">
        <f>+B3-C3</f>
        <v>#REF!</v>
      </c>
      <c r="E3" s="128"/>
      <c r="P3" t="s">
        <v>769</v>
      </c>
    </row>
    <row r="4" spans="1:19">
      <c r="A4" s="128" t="s">
        <v>505</v>
      </c>
      <c r="B4" s="146" t="e">
        <f>+#REF!</f>
        <v>#REF!</v>
      </c>
      <c r="C4" s="128" t="e">
        <f>+#REF!</f>
        <v>#REF!</v>
      </c>
      <c r="D4" s="192" t="e">
        <f>+B4-C4</f>
        <v>#REF!</v>
      </c>
      <c r="E4" s="128"/>
      <c r="O4" t="s">
        <v>430</v>
      </c>
      <c r="P4" s="182">
        <v>100000</v>
      </c>
      <c r="Q4" s="184">
        <v>1.8969</v>
      </c>
    </row>
    <row r="5" spans="1:19">
      <c r="A5" s="128" t="s">
        <v>506</v>
      </c>
      <c r="B5" s="128" t="s">
        <v>507</v>
      </c>
      <c r="C5" s="128"/>
      <c r="D5" s="128"/>
      <c r="E5" s="128"/>
      <c r="O5" t="s">
        <v>768</v>
      </c>
      <c r="P5" s="182">
        <v>50000</v>
      </c>
      <c r="Q5" s="184">
        <v>1.4907999999999999</v>
      </c>
    </row>
    <row r="6" spans="1:19">
      <c r="A6" s="130">
        <v>39406</v>
      </c>
      <c r="B6" s="130">
        <v>39314</v>
      </c>
      <c r="C6" s="128"/>
      <c r="D6" s="128"/>
      <c r="E6" s="128"/>
      <c r="O6" t="s">
        <v>432</v>
      </c>
      <c r="P6" s="182">
        <v>50000</v>
      </c>
      <c r="Q6" s="183">
        <v>1</v>
      </c>
    </row>
    <row r="7" spans="1:19">
      <c r="C7" s="128"/>
      <c r="D7" s="128"/>
      <c r="E7" s="128"/>
      <c r="R7" s="179" t="s">
        <v>508</v>
      </c>
      <c r="S7" s="132"/>
    </row>
    <row r="8" spans="1:19">
      <c r="A8" s="128" t="s">
        <v>509</v>
      </c>
      <c r="B8" s="133">
        <f>A6-B6</f>
        <v>92</v>
      </c>
      <c r="C8" s="128"/>
      <c r="D8" s="128"/>
      <c r="E8" s="128"/>
      <c r="R8" s="179" t="s">
        <v>510</v>
      </c>
      <c r="S8" s="132" t="s">
        <v>138</v>
      </c>
    </row>
    <row r="9" spans="1:19">
      <c r="A9" s="92"/>
      <c r="C9" s="128"/>
      <c r="D9" s="128"/>
      <c r="E9" s="128"/>
      <c r="R9" s="131" t="s">
        <v>431</v>
      </c>
      <c r="S9" s="134">
        <v>20977438.44444444</v>
      </c>
    </row>
    <row r="10" spans="1:19">
      <c r="B10" s="97"/>
      <c r="C10" s="129"/>
      <c r="D10" s="129"/>
      <c r="E10" s="129"/>
      <c r="H10" s="87"/>
      <c r="R10" s="135" t="s">
        <v>432</v>
      </c>
      <c r="S10" s="136">
        <v>23227729.348219182</v>
      </c>
    </row>
    <row r="11" spans="1:19" ht="26.25" thickBot="1">
      <c r="A11" s="137" t="s">
        <v>511</v>
      </c>
      <c r="B11" s="137" t="s">
        <v>512</v>
      </c>
      <c r="C11" s="137" t="s">
        <v>513</v>
      </c>
      <c r="D11" s="137" t="s">
        <v>514</v>
      </c>
      <c r="E11" s="137" t="s">
        <v>519</v>
      </c>
      <c r="F11" s="168" t="s">
        <v>520</v>
      </c>
      <c r="G11" s="137" t="s">
        <v>510</v>
      </c>
      <c r="H11" s="137" t="s">
        <v>515</v>
      </c>
      <c r="I11" s="137" t="s">
        <v>767</v>
      </c>
      <c r="J11" s="137"/>
      <c r="K11" s="137" t="s">
        <v>516</v>
      </c>
      <c r="L11" s="137"/>
      <c r="M11" s="137"/>
      <c r="N11" s="137"/>
      <c r="P11" s="137" t="s">
        <v>770</v>
      </c>
      <c r="Q11" s="137" t="s">
        <v>432</v>
      </c>
      <c r="R11" s="135" t="s">
        <v>430</v>
      </c>
      <c r="S11" s="136">
        <v>51962946.666666672</v>
      </c>
    </row>
    <row r="12" spans="1:19" ht="13.5" thickBot="1">
      <c r="A12" s="164" t="s">
        <v>11</v>
      </c>
      <c r="B12" s="163">
        <f>'GMF 2 CCY Amortisation'!B13</f>
        <v>888847544.75598001</v>
      </c>
      <c r="C12" s="138" t="e">
        <f>#REF!</f>
        <v>#REF!</v>
      </c>
      <c r="D12" s="139" t="e">
        <f>B12*C12</f>
        <v>#REF!</v>
      </c>
      <c r="E12" s="148">
        <v>2.9999999999999997E-4</v>
      </c>
      <c r="F12" s="158">
        <v>5.1900000000000004E-4</v>
      </c>
      <c r="G12" s="159" t="s">
        <v>430</v>
      </c>
      <c r="H12" s="175" t="e">
        <f>$B12*$B$8*(B2+E12)/360</f>
        <v>#REF!</v>
      </c>
      <c r="I12" s="180">
        <f>'GMF 2 GBP Amortisation'!T16</f>
        <v>141524395.90000001</v>
      </c>
      <c r="J12" s="180"/>
      <c r="K12" s="143" t="e">
        <f>D12*$B$8*($B$3+F12)/365</f>
        <v>#REF!</v>
      </c>
      <c r="L12" s="180"/>
      <c r="M12" s="180"/>
      <c r="N12" s="180"/>
      <c r="O12" s="96">
        <f>P4/B12</f>
        <v>1.1250523286021285E-4</v>
      </c>
      <c r="P12" s="87">
        <f>O12*I12</f>
        <v>15922.235116130454</v>
      </c>
      <c r="Q12" s="87">
        <f>P12*Q4</f>
        <v>30202.88779178786</v>
      </c>
      <c r="R12" s="141" t="s">
        <v>517</v>
      </c>
      <c r="S12" s="142">
        <v>96168114.459330291</v>
      </c>
    </row>
    <row r="13" spans="1:19" ht="13.5" thickBot="1">
      <c r="A13" s="166" t="s">
        <v>12</v>
      </c>
      <c r="B13" s="163">
        <f>'GMF 2 CCY Amortisation'!C$13</f>
        <v>212855596.24419522</v>
      </c>
      <c r="C13" s="138" t="e">
        <f>#REF!</f>
        <v>#REF!</v>
      </c>
      <c r="D13" s="139" t="e">
        <f t="shared" ref="D13:D27" si="0">B13*C13</f>
        <v>#REF!</v>
      </c>
      <c r="E13" s="148">
        <v>4.0000000000000002E-4</v>
      </c>
      <c r="F13" s="158">
        <v>4.3499999999999995E-4</v>
      </c>
      <c r="G13" s="159" t="s">
        <v>431</v>
      </c>
      <c r="H13" s="175" t="e">
        <f>B13*B8*(B4+E13)/360</f>
        <v>#REF!</v>
      </c>
      <c r="I13" s="180">
        <f>'GMF 2 GBP Amortisation'!U16</f>
        <v>43123515.490000002</v>
      </c>
      <c r="J13" s="180"/>
      <c r="K13" s="143" t="e">
        <f>D13*$B$8*($B$3+F13)/365</f>
        <v>#REF!</v>
      </c>
      <c r="L13" s="180"/>
      <c r="M13" s="180"/>
      <c r="N13" s="180"/>
      <c r="O13" s="96">
        <f>P5/B13</f>
        <v>2.3490103564220266E-4</v>
      </c>
      <c r="P13" s="87">
        <f>O13*I13</f>
        <v>10129.758449133569</v>
      </c>
      <c r="Q13" s="87">
        <f>P13*Q5</f>
        <v>15101.443895968325</v>
      </c>
    </row>
    <row r="14" spans="1:19" ht="13.5" thickBot="1">
      <c r="A14" s="166" t="s">
        <v>450</v>
      </c>
      <c r="B14" s="163">
        <f>'GMF 2 CCY Amortisation'!D$13</f>
        <v>285366843.31639361</v>
      </c>
      <c r="C14" s="138">
        <v>1</v>
      </c>
      <c r="D14" s="139">
        <f t="shared" si="0"/>
        <v>285366843.31639361</v>
      </c>
      <c r="E14" s="148">
        <v>4.0000000000000002E-4</v>
      </c>
      <c r="F14" s="158">
        <v>4.0000000000000002E-4</v>
      </c>
      <c r="G14" s="159" t="s">
        <v>432</v>
      </c>
      <c r="H14" s="176" t="e">
        <f>B14*B8*(B3+F14)/365</f>
        <v>#REF!</v>
      </c>
      <c r="I14" s="180">
        <f>'GMF 2 GBP Amortisation'!V16</f>
        <v>86189027.480000004</v>
      </c>
      <c r="J14" s="181"/>
      <c r="K14" s="181"/>
      <c r="L14" s="162"/>
      <c r="M14" s="162"/>
      <c r="N14" s="162"/>
      <c r="O14" s="96">
        <f>P6/B14</f>
        <v>1.7521306756918394E-4</v>
      </c>
      <c r="P14" s="87">
        <f>O14*I14</f>
        <v>15101.443895575492</v>
      </c>
      <c r="Q14" s="87">
        <f>P14*Q6</f>
        <v>15101.443895575492</v>
      </c>
    </row>
    <row r="15" spans="1:19" ht="13.5" thickBot="1">
      <c r="A15" s="164" t="s">
        <v>13</v>
      </c>
      <c r="B15" s="163">
        <f>'GMF 2 CCY Amortisation'!E$13</f>
        <v>2596000000</v>
      </c>
      <c r="C15" s="138" t="e">
        <f>#REF!</f>
        <v>#REF!</v>
      </c>
      <c r="D15" s="139" t="e">
        <f t="shared" si="0"/>
        <v>#REF!</v>
      </c>
      <c r="E15" s="148">
        <v>5.0000000000000001E-4</v>
      </c>
      <c r="F15" s="158">
        <v>8.8900000000000003E-4</v>
      </c>
      <c r="G15" s="160" t="s">
        <v>430</v>
      </c>
      <c r="H15" s="175" t="e">
        <f>$B15*$B$8*(B2+E15)/360</f>
        <v>#REF!</v>
      </c>
      <c r="I15" s="180"/>
      <c r="J15" s="180"/>
      <c r="K15" s="143" t="e">
        <f>D15*$B$8*($B$3+F15)/365</f>
        <v>#REF!</v>
      </c>
      <c r="L15" s="180"/>
      <c r="M15" s="180"/>
      <c r="N15" s="180"/>
    </row>
    <row r="16" spans="1:19" ht="13.5" thickBot="1">
      <c r="A16" s="166" t="s">
        <v>14</v>
      </c>
      <c r="B16" s="163">
        <f>'GMF 2 CCY Amortisation'!F$13</f>
        <v>1698999999.9999998</v>
      </c>
      <c r="C16" s="138" t="e">
        <f>#REF!</f>
        <v>#REF!</v>
      </c>
      <c r="D16" s="139" t="e">
        <f t="shared" si="0"/>
        <v>#REF!</v>
      </c>
      <c r="E16" s="148">
        <v>1E-3</v>
      </c>
      <c r="F16" s="158">
        <v>1.2819999999999999E-3</v>
      </c>
      <c r="G16" s="160" t="s">
        <v>431</v>
      </c>
      <c r="H16" s="175" t="e">
        <f>B16*B8*(B4+E16)/360</f>
        <v>#REF!</v>
      </c>
      <c r="I16" s="180"/>
      <c r="J16" s="180"/>
      <c r="K16" s="143" t="e">
        <f>D16*$B$8*($B$3+F16)/365</f>
        <v>#REF!</v>
      </c>
      <c r="L16" s="180"/>
      <c r="M16" s="180"/>
      <c r="N16" s="180"/>
    </row>
    <row r="17" spans="1:18" ht="13.5" thickBot="1">
      <c r="A17" s="165" t="s">
        <v>15</v>
      </c>
      <c r="B17" s="163">
        <f>'GMF 2 CCY Amortisation'!G$13</f>
        <v>1038500000</v>
      </c>
      <c r="C17" s="138" t="e">
        <f>#REF!</f>
        <v>#REF!</v>
      </c>
      <c r="D17" s="139" t="e">
        <f t="shared" si="0"/>
        <v>#REF!</v>
      </c>
      <c r="E17" s="148">
        <v>1E-3</v>
      </c>
      <c r="F17" s="158">
        <v>1.4519999999999999E-3</v>
      </c>
      <c r="G17" s="160" t="s">
        <v>430</v>
      </c>
      <c r="H17" s="175" t="e">
        <f>B17*B8*(B2+E17)/360</f>
        <v>#REF!</v>
      </c>
      <c r="I17" s="180"/>
      <c r="J17" s="180"/>
      <c r="K17" s="143" t="e">
        <f>D17*$B$8*($B$3+F17)/365</f>
        <v>#REF!</v>
      </c>
      <c r="L17" s="180"/>
      <c r="M17" s="180"/>
      <c r="N17" s="180"/>
    </row>
    <row r="18" spans="1:18" ht="13.5" thickBot="1">
      <c r="A18" s="166" t="s">
        <v>10</v>
      </c>
      <c r="B18" s="163">
        <f>'GMF 2 CCY Amortisation'!H$13</f>
        <v>500000000</v>
      </c>
      <c r="C18" s="138">
        <v>1</v>
      </c>
      <c r="D18" s="139">
        <f t="shared" si="0"/>
        <v>500000000</v>
      </c>
      <c r="E18" s="148">
        <v>1.1000000000000001E-3</v>
      </c>
      <c r="F18" s="158">
        <v>1.1000000000000001E-3</v>
      </c>
      <c r="G18" s="159" t="s">
        <v>432</v>
      </c>
      <c r="H18" s="177" t="e">
        <f>$B18*$B$8*(B3+F18)/365</f>
        <v>#REF!</v>
      </c>
      <c r="I18" s="169"/>
      <c r="J18" s="169"/>
      <c r="K18" s="140"/>
      <c r="L18" s="169"/>
      <c r="M18" s="169"/>
      <c r="N18" s="169"/>
    </row>
    <row r="19" spans="1:18" ht="13.5" thickBot="1">
      <c r="A19" s="167" t="s">
        <v>16</v>
      </c>
      <c r="B19" s="163">
        <f>'GMF 2 CCY Amortisation'!I$13</f>
        <v>84500000</v>
      </c>
      <c r="C19" s="138" t="e">
        <f>#REF!</f>
        <v>#REF!</v>
      </c>
      <c r="D19" s="139" t="e">
        <f t="shared" si="0"/>
        <v>#REF!</v>
      </c>
      <c r="E19" s="148">
        <v>1E-3</v>
      </c>
      <c r="F19" s="158">
        <v>1.3210000000000001E-3</v>
      </c>
      <c r="G19" s="161" t="s">
        <v>430</v>
      </c>
      <c r="H19" s="175" t="e">
        <f>B19*B8*($B$2+E19)/360</f>
        <v>#REF!</v>
      </c>
      <c r="I19" s="180"/>
      <c r="J19" s="180"/>
      <c r="K19" s="143" t="e">
        <f>D19*$B$8*($B$3+F19)/365</f>
        <v>#REF!</v>
      </c>
      <c r="L19" s="180"/>
      <c r="M19" s="180"/>
      <c r="N19" s="180"/>
    </row>
    <row r="20" spans="1:18" ht="13.5" thickBot="1">
      <c r="A20" s="166" t="s">
        <v>17</v>
      </c>
      <c r="B20" s="163">
        <f>'GMF 2 CCY Amortisation'!J$13</f>
        <v>167000000</v>
      </c>
      <c r="C20" s="138" t="e">
        <f>#REF!</f>
        <v>#REF!</v>
      </c>
      <c r="D20" s="139" t="e">
        <f t="shared" si="0"/>
        <v>#REF!</v>
      </c>
      <c r="E20" s="148">
        <v>1.8E-3</v>
      </c>
      <c r="F20" s="158">
        <v>2.1410000000000001E-3</v>
      </c>
      <c r="G20" s="161" t="s">
        <v>431</v>
      </c>
      <c r="H20" s="175" t="e">
        <f>B20*B8*($B$4+E20)/360</f>
        <v>#REF!</v>
      </c>
      <c r="I20" s="180"/>
      <c r="J20" s="180"/>
      <c r="K20" s="143" t="e">
        <f>D20*$B$8*($B$3+F20)/365</f>
        <v>#REF!</v>
      </c>
      <c r="L20" s="180"/>
      <c r="M20" s="180"/>
      <c r="N20" s="180"/>
    </row>
    <row r="21" spans="1:18" ht="13.5" thickBot="1">
      <c r="A21" s="167" t="s">
        <v>18</v>
      </c>
      <c r="B21" s="163">
        <f>'GMF 2 CCY Amortisation'!K$13</f>
        <v>23000000</v>
      </c>
      <c r="C21" s="138">
        <v>1</v>
      </c>
      <c r="D21" s="139">
        <f t="shared" si="0"/>
        <v>23000000</v>
      </c>
      <c r="E21" s="148">
        <v>1.8E-3</v>
      </c>
      <c r="F21" s="158">
        <v>1.8E-3</v>
      </c>
      <c r="G21" s="161" t="s">
        <v>432</v>
      </c>
      <c r="H21" s="177" t="e">
        <f>$B21*$B$8*(B3+F21)/365</f>
        <v>#REF!</v>
      </c>
      <c r="I21" s="169"/>
      <c r="J21" s="169"/>
      <c r="K21" s="140"/>
      <c r="L21" s="169"/>
      <c r="M21" s="169"/>
      <c r="N21" s="169"/>
    </row>
    <row r="22" spans="1:18" ht="13.5" thickBot="1">
      <c r="A22" s="166" t="s">
        <v>19</v>
      </c>
      <c r="B22" s="163">
        <f>'GMF 2 CCY Amortisation'!L$13</f>
        <v>74500000</v>
      </c>
      <c r="C22" s="138" t="e">
        <f>#REF!</f>
        <v>#REF!</v>
      </c>
      <c r="D22" s="139" t="e">
        <f t="shared" si="0"/>
        <v>#REF!</v>
      </c>
      <c r="E22" s="148">
        <v>1.8E-3</v>
      </c>
      <c r="F22" s="158">
        <v>2.1440000000000001E-3</v>
      </c>
      <c r="G22" s="160" t="s">
        <v>430</v>
      </c>
      <c r="H22" s="175" t="e">
        <f>B22*B8*($B$2+E22)/360</f>
        <v>#REF!</v>
      </c>
      <c r="I22" s="180"/>
      <c r="J22" s="180"/>
      <c r="K22" s="143" t="e">
        <f>D22*$B$8*($B$3+F22)/365</f>
        <v>#REF!</v>
      </c>
      <c r="L22" s="180"/>
      <c r="M22" s="180"/>
      <c r="N22" s="180"/>
    </row>
    <row r="23" spans="1:18" ht="13.5" thickBot="1">
      <c r="A23" s="167" t="s">
        <v>20</v>
      </c>
      <c r="B23" s="163">
        <f>'GMF 2 CCY Amortisation'!M$13</f>
        <v>91000000</v>
      </c>
      <c r="C23" s="138" t="e">
        <f>#REF!</f>
        <v>#REF!</v>
      </c>
      <c r="D23" s="139" t="e">
        <f t="shared" si="0"/>
        <v>#REF!</v>
      </c>
      <c r="E23" s="148">
        <v>2.7000000000000001E-3</v>
      </c>
      <c r="F23" s="158">
        <v>3.1120000000000002E-3</v>
      </c>
      <c r="G23" s="159" t="s">
        <v>431</v>
      </c>
      <c r="H23" s="175" t="e">
        <f>B23*B8*($B$4+E23)/360</f>
        <v>#REF!</v>
      </c>
      <c r="I23" s="180"/>
      <c r="J23" s="180"/>
      <c r="K23" s="143" t="e">
        <f>D23*$B$8*($B$3+F23)/365</f>
        <v>#REF!</v>
      </c>
      <c r="L23" s="180"/>
      <c r="M23" s="180"/>
      <c r="N23" s="180"/>
    </row>
    <row r="24" spans="1:18" ht="13.5" thickBot="1">
      <c r="A24" s="166" t="s">
        <v>21</v>
      </c>
      <c r="B24" s="163">
        <f>'GMF 2 CCY Amortisation'!N$13</f>
        <v>56000000</v>
      </c>
      <c r="C24" s="138">
        <v>1</v>
      </c>
      <c r="D24" s="139">
        <f t="shared" si="0"/>
        <v>56000000</v>
      </c>
      <c r="E24" s="148">
        <v>2.7000000000000001E-3</v>
      </c>
      <c r="F24" s="158">
        <v>2.7000000000000001E-3</v>
      </c>
      <c r="G24" s="159" t="s">
        <v>432</v>
      </c>
      <c r="H24" s="177" t="e">
        <f>$B24*$B$8*(B3+F24)/365</f>
        <v>#REF!</v>
      </c>
      <c r="I24" s="169"/>
      <c r="J24" s="169"/>
      <c r="K24" s="140"/>
      <c r="L24" s="169"/>
      <c r="M24" s="169"/>
      <c r="N24" s="169"/>
      <c r="R24" s="87"/>
    </row>
    <row r="25" spans="1:18" ht="13.5" thickBot="1">
      <c r="A25" s="166" t="s">
        <v>22</v>
      </c>
      <c r="B25" s="163">
        <f>'GMF 2 CCY Amortisation'!O$13</f>
        <v>70000000</v>
      </c>
      <c r="C25" s="138" t="e">
        <f>#REF!</f>
        <v>#REF!</v>
      </c>
      <c r="D25" s="139" t="e">
        <f t="shared" si="0"/>
        <v>#REF!</v>
      </c>
      <c r="E25" s="148">
        <v>4.7000000000000002E-3</v>
      </c>
      <c r="F25" s="158">
        <v>5.3039999999999997E-3</v>
      </c>
      <c r="G25" s="159" t="s">
        <v>430</v>
      </c>
      <c r="H25" s="175" t="e">
        <f>B25*B8*($B$2+E25)/360</f>
        <v>#REF!</v>
      </c>
      <c r="I25" s="180"/>
      <c r="J25" s="180"/>
      <c r="K25" s="143" t="e">
        <f>D25*$B$8*($B$3+F25)/365</f>
        <v>#REF!</v>
      </c>
      <c r="L25" s="180"/>
      <c r="M25" s="180"/>
      <c r="N25" s="180"/>
    </row>
    <row r="26" spans="1:18" ht="13.5" thickBot="1">
      <c r="A26" s="165" t="s">
        <v>26</v>
      </c>
      <c r="B26" s="163">
        <f>'GMF 2 CCY Amortisation'!P$13</f>
        <v>211000000.00000003</v>
      </c>
      <c r="C26" s="138" t="e">
        <f>#REF!</f>
        <v>#REF!</v>
      </c>
      <c r="D26" s="139" t="e">
        <f t="shared" si="0"/>
        <v>#REF!</v>
      </c>
      <c r="E26" s="148">
        <v>4.7000000000000002E-3</v>
      </c>
      <c r="F26" s="158">
        <v>5.254E-3</v>
      </c>
      <c r="G26" s="161" t="s">
        <v>431</v>
      </c>
      <c r="H26" s="175" t="e">
        <f>$B26*$B$8*($B$4+E26)/360</f>
        <v>#REF!</v>
      </c>
      <c r="I26" s="180"/>
      <c r="J26" s="180"/>
      <c r="K26" s="143" t="e">
        <f>D26*$B$8*($B$3+F26)/365</f>
        <v>#REF!</v>
      </c>
      <c r="L26" s="180"/>
      <c r="M26" s="180"/>
      <c r="N26" s="180"/>
    </row>
    <row r="27" spans="1:18" ht="13.5" thickBot="1">
      <c r="A27" s="166" t="s">
        <v>27</v>
      </c>
      <c r="B27" s="163">
        <f>'GMF 2 CCY Amortisation'!Q$13</f>
        <v>20000000</v>
      </c>
      <c r="C27" s="138">
        <v>1</v>
      </c>
      <c r="D27" s="139">
        <f t="shared" si="0"/>
        <v>20000000</v>
      </c>
      <c r="E27" s="148">
        <v>4.7000000000000002E-3</v>
      </c>
      <c r="F27" s="158">
        <v>4.7000000000000002E-3</v>
      </c>
      <c r="G27" s="160" t="s">
        <v>432</v>
      </c>
      <c r="H27" s="178" t="e">
        <f>$B27*$B$8*(B3+F27)/365</f>
        <v>#REF!</v>
      </c>
      <c r="I27" s="169"/>
      <c r="J27" s="169"/>
      <c r="K27" s="140"/>
      <c r="L27" s="169"/>
      <c r="M27" s="169"/>
      <c r="N27" s="169"/>
    </row>
    <row r="28" spans="1:18" ht="13.5" thickBot="1">
      <c r="A28" s="149"/>
      <c r="B28" s="170"/>
      <c r="C28" s="171"/>
      <c r="D28" s="170"/>
      <c r="E28" s="172"/>
      <c r="F28" s="172"/>
      <c r="G28" s="159" t="s">
        <v>525</v>
      </c>
      <c r="H28" s="173" t="e">
        <f>SUM(H12:H27)</f>
        <v>#REF!</v>
      </c>
      <c r="I28" s="169"/>
      <c r="J28" s="169"/>
      <c r="K28" s="169"/>
      <c r="L28" s="169"/>
      <c r="M28" s="169"/>
      <c r="N28" s="169"/>
    </row>
    <row r="29" spans="1:18">
      <c r="H29" s="144" t="s">
        <v>518</v>
      </c>
      <c r="I29" s="145"/>
      <c r="J29" s="145"/>
      <c r="K29" s="145" t="e">
        <f>SUM(K12:K27)</f>
        <v>#REF!</v>
      </c>
      <c r="L29" s="145"/>
      <c r="M29" s="145"/>
      <c r="N29" s="145"/>
    </row>
    <row r="30" spans="1:18">
      <c r="H30" s="129"/>
      <c r="I30" s="174"/>
      <c r="J30" s="174"/>
      <c r="K30" s="174"/>
      <c r="L30" s="174"/>
      <c r="M30" s="174"/>
      <c r="N30" s="174"/>
    </row>
    <row r="31" spans="1:18">
      <c r="A31" s="149"/>
      <c r="B31" s="149"/>
      <c r="C31" s="149"/>
      <c r="D31" s="149"/>
      <c r="E31" s="149"/>
      <c r="F31" s="149"/>
      <c r="G31" s="149"/>
      <c r="H31" s="149"/>
    </row>
    <row r="32" spans="1:18" ht="13.5" thickBot="1">
      <c r="A32" s="150"/>
      <c r="B32" s="151"/>
      <c r="C32" s="150"/>
      <c r="D32" s="150"/>
      <c r="E32" s="150"/>
      <c r="F32" s="150"/>
      <c r="G32" s="268" t="s">
        <v>429</v>
      </c>
      <c r="H32" s="149"/>
    </row>
    <row r="33" spans="1:18" ht="13.5" thickBot="1">
      <c r="A33" s="164" t="s">
        <v>742</v>
      </c>
      <c r="B33" s="163">
        <f>'GMF 3 CCY Amortisation'!$C$6</f>
        <v>1946741801.7265048</v>
      </c>
      <c r="C33" s="138" t="e">
        <f>#REF!</f>
        <v>#REF!</v>
      </c>
      <c r="D33" s="139" t="e">
        <f>C33*B33</f>
        <v>#REF!</v>
      </c>
      <c r="E33" s="148">
        <v>2.9999999999999997E-4</v>
      </c>
      <c r="F33" s="158">
        <v>5.1000000000000004E-4</v>
      </c>
      <c r="G33" s="159" t="s">
        <v>430</v>
      </c>
      <c r="H33" s="175" t="e">
        <f>B33*$B$8*($B$2+F33)/360</f>
        <v>#REF!</v>
      </c>
      <c r="I33" s="180">
        <f>'GMF 3 GBP Amortisation'!C91</f>
        <v>223014410.36000001</v>
      </c>
      <c r="J33" s="180"/>
      <c r="K33" s="143" t="e">
        <f>D33*$B$8*($B$3+F33)/365</f>
        <v>#REF!</v>
      </c>
      <c r="L33" s="180"/>
    </row>
    <row r="34" spans="1:18" ht="13.5" thickBot="1">
      <c r="A34" s="164" t="s">
        <v>743</v>
      </c>
      <c r="B34" s="163">
        <f>'GMF 3 CCY Amortisation'!$D$6</f>
        <v>421330547.08795071</v>
      </c>
      <c r="C34" s="138" t="e">
        <f>#REF!</f>
        <v>#REF!</v>
      </c>
      <c r="D34" s="139" t="e">
        <f t="shared" ref="D34:D49" si="1">C34*B34</f>
        <v>#REF!</v>
      </c>
      <c r="E34" s="148">
        <v>4.0000000000000002E-4</v>
      </c>
      <c r="F34" s="158">
        <v>4.2900000000000002E-4</v>
      </c>
      <c r="G34" s="159" t="s">
        <v>431</v>
      </c>
      <c r="H34" s="175" t="e">
        <f>B34*$B$8*($B$4+F34)/360</f>
        <v>#REF!</v>
      </c>
      <c r="I34" s="180">
        <f>'GMF 3 GBP Amortisation'!D91</f>
        <v>65078462.630000003</v>
      </c>
      <c r="J34" s="180"/>
      <c r="K34" s="355" t="e">
        <f t="shared" ref="K34:K48" si="2">D34*$B$8*($B$3+F34)/365</f>
        <v>#REF!</v>
      </c>
      <c r="L34" s="180"/>
    </row>
    <row r="35" spans="1:18" ht="13.5" thickBot="1">
      <c r="A35" s="166" t="s">
        <v>744</v>
      </c>
      <c r="B35" s="163">
        <f>'GMF 3 CCY Amortisation'!$E$6</f>
        <v>138404071.90369865</v>
      </c>
      <c r="C35" s="138">
        <v>1</v>
      </c>
      <c r="D35" s="139">
        <f t="shared" si="1"/>
        <v>138404071.90369865</v>
      </c>
      <c r="E35" s="148">
        <v>4.0000000000000002E-4</v>
      </c>
      <c r="F35" s="158">
        <v>4.0000000000000002E-4</v>
      </c>
      <c r="G35" s="159" t="s">
        <v>432</v>
      </c>
      <c r="H35" s="177" t="e">
        <f>B35*$B$8*($B$3+F35)/365</f>
        <v>#REF!</v>
      </c>
      <c r="I35" s="169">
        <f>'GMF 3 GBP Amortisation'!E91</f>
        <v>31498064.690000001</v>
      </c>
      <c r="J35" s="169"/>
      <c r="K35" s="140"/>
      <c r="L35" s="169"/>
      <c r="R35" s="87"/>
    </row>
    <row r="36" spans="1:18" ht="13.5" thickBot="1">
      <c r="A36" s="166" t="s">
        <v>745</v>
      </c>
      <c r="B36" s="163">
        <f>'GMF 3 CCY Amortisation'!$F$6</f>
        <v>1813500000</v>
      </c>
      <c r="C36" s="138" t="e">
        <f>#REF!</f>
        <v>#REF!</v>
      </c>
      <c r="D36" s="139" t="e">
        <f t="shared" si="1"/>
        <v>#REF!</v>
      </c>
      <c r="E36" s="148">
        <v>4.0000000000000002E-4</v>
      </c>
      <c r="F36" s="158">
        <v>7.2000000000000005E-4</v>
      </c>
      <c r="G36" s="159" t="s">
        <v>430</v>
      </c>
      <c r="H36" s="175" t="e">
        <f>B36*$B$8*($B$2+F36)/360</f>
        <v>#REF!</v>
      </c>
      <c r="I36" s="180"/>
      <c r="J36" s="180"/>
      <c r="K36" s="143" t="e">
        <f t="shared" si="2"/>
        <v>#REF!</v>
      </c>
      <c r="L36" s="180"/>
    </row>
    <row r="37" spans="1:18" ht="13.5" thickBot="1">
      <c r="A37" s="164" t="s">
        <v>746</v>
      </c>
      <c r="B37" s="163">
        <f>'GMF 3 CCY Amortisation'!$G$6</f>
        <v>500000000</v>
      </c>
      <c r="C37" s="138" t="e">
        <f>#REF!</f>
        <v>#REF!</v>
      </c>
      <c r="D37" s="139" t="e">
        <f t="shared" si="1"/>
        <v>#REF!</v>
      </c>
      <c r="E37" s="148">
        <v>5.0000000000000001E-4</v>
      </c>
      <c r="F37" s="158">
        <v>6.6200000000000005E-4</v>
      </c>
      <c r="G37" s="160" t="s">
        <v>431</v>
      </c>
      <c r="H37" s="175" t="e">
        <f>B37*$B$8*($B$4+F37)/360</f>
        <v>#REF!</v>
      </c>
      <c r="I37" s="180"/>
      <c r="J37" s="180"/>
      <c r="K37" s="143" t="e">
        <f t="shared" si="2"/>
        <v>#REF!</v>
      </c>
      <c r="L37" s="180"/>
    </row>
    <row r="38" spans="1:18" ht="13.5" thickBot="1">
      <c r="A38" s="166" t="s">
        <v>747</v>
      </c>
      <c r="B38" s="163">
        <f>'GMF 3 CCY Amortisation'!$H$6</f>
        <v>2429000000</v>
      </c>
      <c r="C38" s="138" t="e">
        <f>#REF!</f>
        <v>#REF!</v>
      </c>
      <c r="D38" s="139" t="e">
        <f t="shared" si="1"/>
        <v>#REF!</v>
      </c>
      <c r="E38" s="148">
        <v>8.0000000000000004E-4</v>
      </c>
      <c r="F38" s="158">
        <v>1.199E-3</v>
      </c>
      <c r="G38" s="160" t="s">
        <v>430</v>
      </c>
      <c r="H38" s="175" t="e">
        <f>B38*$B$8*($B$2+F38)/360</f>
        <v>#REF!</v>
      </c>
      <c r="I38" s="180"/>
      <c r="J38" s="180"/>
      <c r="K38" s="143" t="e">
        <f t="shared" si="2"/>
        <v>#REF!</v>
      </c>
      <c r="L38" s="180"/>
    </row>
    <row r="39" spans="1:18" ht="13.5" thickBot="1">
      <c r="A39" s="165" t="s">
        <v>748</v>
      </c>
      <c r="B39" s="163">
        <f>'GMF 3 CCY Amortisation'!$I$6</f>
        <v>1146000000</v>
      </c>
      <c r="C39" s="138" t="e">
        <f>#REF!</f>
        <v>#REF!</v>
      </c>
      <c r="D39" s="139" t="e">
        <f t="shared" si="1"/>
        <v>#REF!</v>
      </c>
      <c r="E39" s="148">
        <v>1E-3</v>
      </c>
      <c r="F39" s="158">
        <v>1.266E-3</v>
      </c>
      <c r="G39" s="160" t="s">
        <v>431</v>
      </c>
      <c r="H39" s="175" t="e">
        <f>B39*$B$8*($B$4+F39)/360</f>
        <v>#REF!</v>
      </c>
      <c r="I39" s="180"/>
      <c r="J39" s="180"/>
      <c r="K39" s="143" t="e">
        <f t="shared" si="2"/>
        <v>#REF!</v>
      </c>
      <c r="L39" s="180"/>
    </row>
    <row r="40" spans="1:18" ht="13.5" thickBot="1">
      <c r="A40" s="166" t="s">
        <v>749</v>
      </c>
      <c r="B40" s="163">
        <f>'GMF 3 CCY Amortisation'!$J$6</f>
        <v>768500000</v>
      </c>
      <c r="C40" s="138">
        <v>1</v>
      </c>
      <c r="D40" s="139">
        <f t="shared" si="1"/>
        <v>768500000</v>
      </c>
      <c r="E40" s="148">
        <v>1E-3</v>
      </c>
      <c r="F40" s="158">
        <v>1E-3</v>
      </c>
      <c r="G40" s="159" t="s">
        <v>432</v>
      </c>
      <c r="H40" s="177" t="e">
        <f>B40*$B$8*($B$3+F40)/365</f>
        <v>#REF!</v>
      </c>
      <c r="I40" s="169"/>
      <c r="J40" s="169"/>
      <c r="K40" s="140"/>
      <c r="L40" s="169"/>
      <c r="R40" s="87"/>
    </row>
    <row r="41" spans="1:18" ht="13.5" thickBot="1">
      <c r="A41" s="167" t="s">
        <v>750</v>
      </c>
      <c r="B41" s="163">
        <f>'GMF 3 CCY Amortisation'!$K$6</f>
        <v>86000000</v>
      </c>
      <c r="C41" s="138" t="e">
        <f>#REF!</f>
        <v>#REF!</v>
      </c>
      <c r="D41" s="139" t="e">
        <f t="shared" si="1"/>
        <v>#REF!</v>
      </c>
      <c r="E41" s="148">
        <v>8.0000000000000004E-4</v>
      </c>
      <c r="F41" s="158">
        <v>1.1100000000000001E-3</v>
      </c>
      <c r="G41" s="161" t="s">
        <v>430</v>
      </c>
      <c r="H41" s="175" t="e">
        <f>B41*$B$8*($B$2+F41)/360</f>
        <v>#REF!</v>
      </c>
      <c r="I41" s="180"/>
      <c r="J41" s="180"/>
      <c r="K41" s="143" t="e">
        <f t="shared" si="2"/>
        <v>#REF!</v>
      </c>
      <c r="L41" s="180"/>
    </row>
    <row r="42" spans="1:18" ht="13.5" thickBot="1">
      <c r="A42" s="166" t="s">
        <v>751</v>
      </c>
      <c r="B42" s="163">
        <f>'GMF 3 CCY Amortisation'!$L$6</f>
        <v>140000000</v>
      </c>
      <c r="C42" s="138" t="e">
        <f>#REF!</f>
        <v>#REF!</v>
      </c>
      <c r="D42" s="139" t="e">
        <f t="shared" si="1"/>
        <v>#REF!</v>
      </c>
      <c r="E42" s="148">
        <v>1.4E-3</v>
      </c>
      <c r="F42" s="158">
        <v>1.624E-3</v>
      </c>
      <c r="G42" s="161" t="s">
        <v>431</v>
      </c>
      <c r="H42" s="175" t="e">
        <f>B42*$B$8*($B$4+F42)/360</f>
        <v>#REF!</v>
      </c>
      <c r="I42" s="180"/>
      <c r="J42" s="180"/>
      <c r="K42" s="143" t="e">
        <f t="shared" si="2"/>
        <v>#REF!</v>
      </c>
      <c r="L42" s="180"/>
    </row>
    <row r="43" spans="1:18" ht="13.5" thickBot="1">
      <c r="A43" s="166" t="s">
        <v>752</v>
      </c>
      <c r="B43" s="163">
        <f>'GMF 3 CCY Amortisation'!$M$6</f>
        <v>20000000</v>
      </c>
      <c r="C43" s="138">
        <v>1</v>
      </c>
      <c r="D43" s="139">
        <f t="shared" si="1"/>
        <v>20000000</v>
      </c>
      <c r="E43" s="148">
        <v>1.4E-3</v>
      </c>
      <c r="F43" s="158">
        <v>1.4E-3</v>
      </c>
      <c r="G43" s="159" t="s">
        <v>432</v>
      </c>
      <c r="H43" s="177" t="e">
        <f>B43*$B$8*($B$3+F43)/365</f>
        <v>#REF!</v>
      </c>
      <c r="I43" s="169" t="s">
        <v>622</v>
      </c>
      <c r="J43" s="169"/>
      <c r="K43" s="140"/>
      <c r="L43" s="169"/>
      <c r="R43" s="87"/>
    </row>
    <row r="44" spans="1:18" ht="13.5" thickBot="1">
      <c r="A44" s="166" t="s">
        <v>753</v>
      </c>
      <c r="B44" s="163">
        <f>'GMF 3 CCY Amortisation'!$N$6</f>
        <v>65000000</v>
      </c>
      <c r="C44" s="138" t="e">
        <f>#REF!</f>
        <v>#REF!</v>
      </c>
      <c r="D44" s="139" t="e">
        <f t="shared" si="1"/>
        <v>#REF!</v>
      </c>
      <c r="E44" s="148">
        <v>1.6000000000000001E-3</v>
      </c>
      <c r="F44" s="158">
        <v>1.9369999999999999E-3</v>
      </c>
      <c r="G44" s="160" t="s">
        <v>430</v>
      </c>
      <c r="H44" s="175" t="e">
        <f>B44*$B$8*($B$2+F44)/360</f>
        <v>#REF!</v>
      </c>
      <c r="I44" s="180"/>
      <c r="J44" s="180"/>
      <c r="K44" s="143" t="e">
        <f t="shared" si="2"/>
        <v>#REF!</v>
      </c>
      <c r="L44" s="180"/>
    </row>
    <row r="45" spans="1:18" ht="13.5" thickBot="1">
      <c r="A45" s="167" t="s">
        <v>754</v>
      </c>
      <c r="B45" s="163">
        <f>'GMF 3 CCY Amortisation'!$O$6</f>
        <v>95100000</v>
      </c>
      <c r="C45" s="138" t="e">
        <f>#REF!</f>
        <v>#REF!</v>
      </c>
      <c r="D45" s="139" t="e">
        <f t="shared" si="1"/>
        <v>#REF!</v>
      </c>
      <c r="E45" s="148">
        <v>2.3E-3</v>
      </c>
      <c r="F45" s="158">
        <v>2.5769999999999999E-3</v>
      </c>
      <c r="G45" s="159" t="s">
        <v>431</v>
      </c>
      <c r="H45" s="175" t="e">
        <f>B45*$B$8*($B$4+F45)/360</f>
        <v>#REF!</v>
      </c>
      <c r="I45" s="180"/>
      <c r="J45" s="180"/>
      <c r="K45" s="143" t="e">
        <f t="shared" si="2"/>
        <v>#REF!</v>
      </c>
      <c r="L45" s="180"/>
    </row>
    <row r="46" spans="1:18" ht="13.5" thickBot="1">
      <c r="A46" s="166" t="s">
        <v>755</v>
      </c>
      <c r="B46" s="163">
        <f>'GMF 3 CCY Amortisation'!$P$6</f>
        <v>40000000</v>
      </c>
      <c r="C46" s="138">
        <v>1</v>
      </c>
      <c r="D46" s="139">
        <f t="shared" si="1"/>
        <v>40000000</v>
      </c>
      <c r="E46" s="148">
        <v>2.3E-3</v>
      </c>
      <c r="F46" s="158">
        <v>2.3E-3</v>
      </c>
      <c r="G46" s="159" t="s">
        <v>432</v>
      </c>
      <c r="H46" s="177" t="e">
        <f>B46*$B$8*($B$3+F46)/365</f>
        <v>#REF!</v>
      </c>
      <c r="I46" s="169"/>
      <c r="J46" s="169"/>
      <c r="K46" s="140"/>
      <c r="L46" s="169"/>
      <c r="R46" s="87"/>
    </row>
    <row r="47" spans="1:18" ht="13.5" thickBot="1">
      <c r="A47" s="166" t="s">
        <v>756</v>
      </c>
      <c r="B47" s="163">
        <f>'GMF 3 CCY Amortisation'!$Q$6</f>
        <v>45000000</v>
      </c>
      <c r="C47" s="138" t="e">
        <f>#REF!</f>
        <v>#REF!</v>
      </c>
      <c r="D47" s="139" t="e">
        <f t="shared" si="1"/>
        <v>#REF!</v>
      </c>
      <c r="E47" s="148">
        <v>3.8999999999999998E-3</v>
      </c>
      <c r="F47" s="158">
        <v>4.3680000000000004E-3</v>
      </c>
      <c r="G47" s="159" t="s">
        <v>430</v>
      </c>
      <c r="H47" s="175" t="e">
        <f>B47*$B$8*($B$2+F47)/360</f>
        <v>#REF!</v>
      </c>
      <c r="I47" s="180"/>
      <c r="J47" s="180"/>
      <c r="K47" s="143" t="e">
        <f t="shared" si="2"/>
        <v>#REF!</v>
      </c>
      <c r="L47" s="180"/>
    </row>
    <row r="48" spans="1:18" ht="13.5" thickBot="1">
      <c r="A48" s="165" t="s">
        <v>757</v>
      </c>
      <c r="B48" s="163">
        <f>'GMF 3 CCY Amortisation'!$R$6</f>
        <v>190900000</v>
      </c>
      <c r="C48" s="138" t="e">
        <f>#REF!</f>
        <v>#REF!</v>
      </c>
      <c r="D48" s="139" t="e">
        <f t="shared" si="1"/>
        <v>#REF!</v>
      </c>
      <c r="E48" s="148">
        <v>4.0000000000000001E-3</v>
      </c>
      <c r="F48" s="158">
        <v>4.3550000000000004E-3</v>
      </c>
      <c r="G48" s="161" t="s">
        <v>431</v>
      </c>
      <c r="H48" s="175" t="e">
        <f>B48*$B$8*($B$4+F48)/360</f>
        <v>#REF!</v>
      </c>
      <c r="I48" s="180"/>
      <c r="J48" s="180"/>
      <c r="K48" s="143" t="e">
        <f t="shared" si="2"/>
        <v>#REF!</v>
      </c>
      <c r="L48" s="180"/>
    </row>
    <row r="49" spans="1:18" ht="13.5" thickBot="1">
      <c r="A49" s="166" t="s">
        <v>758</v>
      </c>
      <c r="B49" s="163">
        <f>'GMF 3 CCY Amortisation'!$S$6</f>
        <v>22000000</v>
      </c>
      <c r="C49" s="138">
        <v>1</v>
      </c>
      <c r="D49" s="139">
        <f t="shared" si="1"/>
        <v>22000000</v>
      </c>
      <c r="E49" s="148">
        <v>4.0000000000000001E-3</v>
      </c>
      <c r="F49" s="158">
        <v>4.0000000000000001E-3</v>
      </c>
      <c r="G49" s="159" t="s">
        <v>432</v>
      </c>
      <c r="H49" s="177" t="e">
        <f>B49*$B$8*($B$3+F49)/365</f>
        <v>#REF!</v>
      </c>
      <c r="I49" s="169"/>
      <c r="J49" s="169"/>
      <c r="K49" s="140"/>
      <c r="L49" s="169"/>
      <c r="R49" s="87"/>
    </row>
    <row r="50" spans="1:18" ht="13.5" thickBot="1">
      <c r="A50" s="149"/>
      <c r="B50" s="170"/>
      <c r="C50" s="171"/>
      <c r="D50" s="170"/>
      <c r="E50" s="172"/>
      <c r="F50" s="172"/>
      <c r="G50" s="159" t="s">
        <v>525</v>
      </c>
      <c r="H50" s="173" t="e">
        <f>SUM(H33:H49)</f>
        <v>#REF!</v>
      </c>
      <c r="I50" s="169"/>
      <c r="J50" s="169"/>
      <c r="K50" s="169"/>
      <c r="L50" s="169"/>
    </row>
    <row r="51" spans="1:18">
      <c r="H51" s="144" t="s">
        <v>518</v>
      </c>
      <c r="I51" s="145"/>
      <c r="J51" s="145"/>
      <c r="K51" s="145" t="e">
        <f>SUM(K33:K50)</f>
        <v>#REF!</v>
      </c>
      <c r="L51" s="145"/>
    </row>
    <row r="52" spans="1:18">
      <c r="A52" s="152"/>
      <c r="B52" s="153"/>
      <c r="C52" s="154"/>
      <c r="D52" s="153"/>
      <c r="E52" s="155"/>
      <c r="F52" s="156"/>
      <c r="G52" s="156"/>
      <c r="H52" s="149"/>
    </row>
    <row r="53" spans="1:18">
      <c r="A53" s="152"/>
      <c r="B53" s="153"/>
      <c r="C53" s="154"/>
      <c r="D53" s="153"/>
      <c r="E53" s="155"/>
      <c r="F53" s="156"/>
      <c r="G53" s="156"/>
      <c r="H53" s="149"/>
    </row>
    <row r="54" spans="1:18">
      <c r="A54" s="152"/>
      <c r="B54" s="153"/>
      <c r="C54" s="154"/>
      <c r="D54" s="153"/>
      <c r="E54" s="155"/>
      <c r="F54" s="156"/>
      <c r="G54" s="156"/>
      <c r="H54" s="149"/>
    </row>
    <row r="55" spans="1:18">
      <c r="A55" s="152"/>
      <c r="B55" s="153"/>
      <c r="C55" s="154"/>
      <c r="D55" s="153"/>
      <c r="E55" s="155"/>
      <c r="F55" s="156"/>
      <c r="G55" s="156"/>
      <c r="H55" s="149"/>
    </row>
    <row r="56" spans="1:18">
      <c r="A56" s="149"/>
      <c r="B56" s="149"/>
      <c r="C56" s="149"/>
      <c r="D56" s="157"/>
      <c r="E56" s="149"/>
      <c r="F56" s="149"/>
      <c r="G56" s="149"/>
      <c r="H56" s="149"/>
    </row>
    <row r="57" spans="1:18">
      <c r="A57" s="152"/>
      <c r="B57" s="153"/>
      <c r="C57" s="154"/>
      <c r="D57" s="153"/>
      <c r="E57" s="155"/>
      <c r="F57" s="156"/>
      <c r="G57" s="156"/>
      <c r="H57" s="149"/>
    </row>
    <row r="58" spans="1:18">
      <c r="A58" s="152"/>
      <c r="B58" s="153"/>
      <c r="C58" s="154"/>
      <c r="D58" s="153"/>
      <c r="E58" s="155"/>
      <c r="F58" s="156"/>
      <c r="G58" s="156"/>
      <c r="H58" s="149"/>
    </row>
    <row r="59" spans="1:18">
      <c r="A59" s="149"/>
      <c r="B59" s="149"/>
      <c r="C59" s="149"/>
      <c r="D59" s="149"/>
      <c r="E59" s="149"/>
      <c r="F59" s="149"/>
      <c r="G59" s="149"/>
      <c r="H59" s="149"/>
    </row>
    <row r="60" spans="1:18">
      <c r="A60" s="149"/>
      <c r="B60" s="149"/>
      <c r="C60" s="149"/>
      <c r="D60" s="149"/>
      <c r="E60" s="149"/>
      <c r="F60" s="149"/>
      <c r="G60" s="149"/>
      <c r="H60" s="149"/>
    </row>
    <row r="61" spans="1:18">
      <c r="A61" s="149"/>
      <c r="B61" s="149"/>
      <c r="C61" s="149"/>
      <c r="D61" s="149"/>
      <c r="E61" s="149"/>
      <c r="F61" s="149"/>
      <c r="G61" s="149"/>
      <c r="H61" s="149"/>
    </row>
    <row r="62" spans="1:18">
      <c r="A62" s="149"/>
      <c r="B62" s="149"/>
      <c r="C62" s="149"/>
      <c r="D62" s="149"/>
      <c r="E62" s="149"/>
      <c r="F62" s="149"/>
      <c r="G62" s="149"/>
      <c r="H62" s="149"/>
    </row>
  </sheetData>
  <phoneticPr fontId="3" type="noConversion"/>
  <pageMargins left="0.75" right="0.75" top="1" bottom="1" header="0.5" footer="0.5"/>
  <pageSetup paperSize="9" scale="64" orientation="landscape" r:id="rId2"/>
  <headerFooter alignWithMargins="0"/>
</worksheet>
</file>

<file path=xl/worksheets/sheet11.xml><?xml version="1.0" encoding="utf-8"?>
<worksheet xmlns="http://schemas.openxmlformats.org/spreadsheetml/2006/main" xmlns:r="http://schemas.openxmlformats.org/officeDocument/2006/relationships">
  <sheetPr codeName="Sheet17"/>
  <dimension ref="A1:H125"/>
  <sheetViews>
    <sheetView workbookViewId="0">
      <selection activeCell="B18" sqref="B18"/>
    </sheetView>
  </sheetViews>
  <sheetFormatPr defaultRowHeight="12.75"/>
  <cols>
    <col min="1" max="1" width="62.42578125" style="2" customWidth="1"/>
    <col min="2" max="2" width="17.7109375" style="2" customWidth="1"/>
    <col min="3" max="4" width="11.140625" style="2" customWidth="1"/>
    <col min="5" max="6" width="13.7109375" style="2" customWidth="1"/>
    <col min="7" max="16384" width="9.140625" style="2"/>
  </cols>
  <sheetData>
    <row r="1" spans="1:6">
      <c r="A1" s="1" t="s">
        <v>436</v>
      </c>
    </row>
    <row r="2" spans="1:6" ht="13.5" thickBot="1"/>
    <row r="3" spans="1:6" ht="13.5" thickBot="1">
      <c r="A3" s="3" t="s">
        <v>446</v>
      </c>
      <c r="B3" s="28" t="e">
        <f>+IF((AND(AND(B9,B15,C15,B26,B33,B43,B58,B63,B72,B77="pass"),AND(B36,B38,B45,B47,B49,B66,B68,B79,B81="true"))),"pass","fail")</f>
        <v>#REF!</v>
      </c>
      <c r="E3" s="31" t="s">
        <v>777</v>
      </c>
    </row>
    <row r="4" spans="1:6">
      <c r="E4" s="4" t="s">
        <v>437</v>
      </c>
    </row>
    <row r="5" spans="1:6">
      <c r="A5" s="1" t="s">
        <v>439</v>
      </c>
    </row>
    <row r="6" spans="1:6">
      <c r="A6" s="2" t="s">
        <v>824</v>
      </c>
      <c r="B6" s="21">
        <v>1</v>
      </c>
      <c r="E6" s="2" t="s">
        <v>235</v>
      </c>
    </row>
    <row r="7" spans="1:6">
      <c r="A7" s="2" t="s">
        <v>1054</v>
      </c>
      <c r="B7" s="21">
        <v>100</v>
      </c>
    </row>
    <row r="8" spans="1:6">
      <c r="A8" s="5" t="s">
        <v>438</v>
      </c>
      <c r="B8" s="22">
        <f>+B6/B7</f>
        <v>0.01</v>
      </c>
    </row>
    <row r="9" spans="1:6">
      <c r="A9" s="27" t="s">
        <v>447</v>
      </c>
      <c r="B9" s="23" t="str">
        <f>+IF(B8&gt;2%,"FAIL","PASS")</f>
        <v>PASS</v>
      </c>
    </row>
    <row r="11" spans="1:6">
      <c r="A11" s="1" t="s">
        <v>448</v>
      </c>
      <c r="F11" s="2">
        <f>+IF(B9="pass",1,2)</f>
        <v>1</v>
      </c>
    </row>
    <row r="12" spans="1:6">
      <c r="A12" s="9" t="s">
        <v>452</v>
      </c>
      <c r="B12" s="7" t="s">
        <v>435</v>
      </c>
      <c r="C12" s="7" t="s">
        <v>434</v>
      </c>
      <c r="D12" s="7"/>
    </row>
    <row r="13" spans="1:6">
      <c r="A13" s="9" t="s">
        <v>440</v>
      </c>
      <c r="B13" s="9" t="s">
        <v>441</v>
      </c>
      <c r="C13" s="9" t="s">
        <v>442</v>
      </c>
      <c r="D13" s="9"/>
    </row>
    <row r="14" spans="1:6">
      <c r="A14" s="9" t="s">
        <v>445</v>
      </c>
      <c r="B14" s="11" t="s">
        <v>443</v>
      </c>
      <c r="C14" s="11" t="s">
        <v>444</v>
      </c>
      <c r="D14" s="11"/>
    </row>
    <row r="15" spans="1:6">
      <c r="A15" s="27" t="s">
        <v>447</v>
      </c>
      <c r="B15" s="11" t="s">
        <v>825</v>
      </c>
      <c r="C15" s="11" t="s">
        <v>825</v>
      </c>
      <c r="D15" s="11"/>
    </row>
    <row r="16" spans="1:6" hidden="1">
      <c r="A16" s="8" t="s">
        <v>453</v>
      </c>
      <c r="B16" s="11"/>
      <c r="C16" s="12"/>
      <c r="D16" s="11"/>
    </row>
    <row r="17" spans="1:5" hidden="1">
      <c r="A17" s="8" t="str">
        <f>+IF(OR(B15="FAIL",C15="FAIL"),"Solvency Certificate Provided to Mortgage Trustee and Funding Security Trustee?","No Solvency Certificate Required")</f>
        <v>No Solvency Certificate Required</v>
      </c>
      <c r="B17" s="9"/>
      <c r="C17" s="10"/>
      <c r="D17" s="9"/>
    </row>
    <row r="18" spans="1:5" hidden="1">
      <c r="A18" s="13" t="str">
        <f>+IF(OR(B15="FAIL",C15="FAIL"),"Answer (Yes/No)","")</f>
        <v/>
      </c>
      <c r="B18" s="14"/>
      <c r="C18" s="15"/>
      <c r="D18" s="9"/>
    </row>
    <row r="19" spans="1:5" hidden="1"/>
    <row r="20" spans="1:5">
      <c r="A20" s="2" t="s">
        <v>447</v>
      </c>
      <c r="B20" s="2" t="str">
        <f>+IF(OR(AND(B15="pass",C15="pass"),B18="yes"),"PASS","FAIL")</f>
        <v>PASS</v>
      </c>
    </row>
    <row r="22" spans="1:5">
      <c r="A22" s="1" t="s">
        <v>449</v>
      </c>
    </row>
    <row r="23" spans="1:5">
      <c r="A23" s="2" t="s">
        <v>454</v>
      </c>
      <c r="B23" s="2" t="s">
        <v>433</v>
      </c>
    </row>
    <row r="24" spans="1:5">
      <c r="A24" s="2" t="s">
        <v>440</v>
      </c>
      <c r="B24" s="2" t="s">
        <v>450</v>
      </c>
    </row>
    <row r="25" spans="1:5">
      <c r="A25" s="2" t="s">
        <v>445</v>
      </c>
      <c r="B25" s="16" t="s">
        <v>451</v>
      </c>
    </row>
    <row r="26" spans="1:5">
      <c r="A26" s="27" t="s">
        <v>447</v>
      </c>
      <c r="B26" s="16" t="s">
        <v>825</v>
      </c>
    </row>
    <row r="27" spans="1:5" hidden="1">
      <c r="A27" s="2" t="s">
        <v>453</v>
      </c>
      <c r="B27" s="2" t="s">
        <v>456</v>
      </c>
    </row>
    <row r="29" spans="1:5">
      <c r="A29" s="1" t="s">
        <v>457</v>
      </c>
    </row>
    <row r="30" spans="1:5">
      <c r="A30" s="2" t="s">
        <v>932</v>
      </c>
      <c r="B30" s="24">
        <v>2</v>
      </c>
      <c r="E30" s="2" t="s">
        <v>235</v>
      </c>
    </row>
    <row r="31" spans="1:5">
      <c r="A31" s="2" t="s">
        <v>458</v>
      </c>
      <c r="B31" s="24">
        <v>100</v>
      </c>
    </row>
    <row r="32" spans="1:5">
      <c r="A32" s="5" t="s">
        <v>931</v>
      </c>
      <c r="B32" s="22">
        <f>+B30/B31</f>
        <v>0.02</v>
      </c>
    </row>
    <row r="33" spans="1:8">
      <c r="A33" s="27" t="s">
        <v>447</v>
      </c>
      <c r="B33" s="23" t="str">
        <f>+IF(B32&gt;=4%,"FAIL","PASS")</f>
        <v>PASS</v>
      </c>
    </row>
    <row r="34" spans="1:8">
      <c r="B34" s="23"/>
    </row>
    <row r="35" spans="1:8">
      <c r="B35" s="17"/>
    </row>
    <row r="36" spans="1:8" ht="25.5">
      <c r="A36" s="26" t="s">
        <v>933</v>
      </c>
      <c r="B36" s="23" t="b">
        <v>1</v>
      </c>
    </row>
    <row r="37" spans="1:8">
      <c r="A37" s="26"/>
      <c r="B37" s="23"/>
    </row>
    <row r="38" spans="1:8" ht="38.25">
      <c r="A38" s="26" t="s">
        <v>822</v>
      </c>
      <c r="B38" s="23" t="b">
        <v>1</v>
      </c>
    </row>
    <row r="39" spans="1:8">
      <c r="A39" s="26"/>
      <c r="B39" s="23"/>
    </row>
    <row r="40" spans="1:8">
      <c r="A40" s="1" t="s">
        <v>455</v>
      </c>
      <c r="B40" s="23"/>
    </row>
    <row r="41" spans="1:8">
      <c r="A41" s="2" t="s">
        <v>236</v>
      </c>
      <c r="B41" s="29" t="e">
        <f>15%*#REF!</f>
        <v>#REF!</v>
      </c>
    </row>
    <row r="42" spans="1:8">
      <c r="A42" s="2" t="s">
        <v>237</v>
      </c>
      <c r="B42" s="29">
        <v>1000000000</v>
      </c>
    </row>
    <row r="43" spans="1:8">
      <c r="A43" s="27" t="s">
        <v>447</v>
      </c>
      <c r="B43" s="23" t="e">
        <f>+IF(B41&gt;=B42,"PASS","FAIL")</f>
        <v>#REF!</v>
      </c>
      <c r="H43" s="18"/>
    </row>
    <row r="44" spans="1:8">
      <c r="B44" s="17"/>
      <c r="H44" s="18"/>
    </row>
    <row r="45" spans="1:8" s="19" customFormat="1" ht="25.5">
      <c r="A45" s="26" t="s">
        <v>269</v>
      </c>
      <c r="B45" s="20" t="b">
        <v>1</v>
      </c>
    </row>
    <row r="46" spans="1:8" s="19" customFormat="1">
      <c r="A46" s="26"/>
      <c r="B46" s="20"/>
    </row>
    <row r="47" spans="1:8" ht="25.5">
      <c r="A47" s="1" t="s">
        <v>823</v>
      </c>
      <c r="B47" s="20" t="b">
        <v>1</v>
      </c>
      <c r="E47" s="19" t="s">
        <v>775</v>
      </c>
      <c r="F47" s="19" t="s">
        <v>776</v>
      </c>
    </row>
    <row r="48" spans="1:8">
      <c r="A48" s="1"/>
      <c r="B48" s="20"/>
    </row>
    <row r="49" spans="1:5">
      <c r="A49" s="1" t="s">
        <v>934</v>
      </c>
      <c r="B49" s="20" t="b">
        <v>1</v>
      </c>
    </row>
    <row r="50" spans="1:5">
      <c r="A50" s="1"/>
      <c r="B50" s="20"/>
    </row>
    <row r="51" spans="1:5">
      <c r="A51" s="1" t="s">
        <v>354</v>
      </c>
      <c r="B51" s="23"/>
    </row>
    <row r="52" spans="1:5">
      <c r="A52" s="4" t="s">
        <v>826</v>
      </c>
      <c r="B52" s="23"/>
    </row>
    <row r="53" spans="1:5">
      <c r="A53" s="4" t="s">
        <v>983</v>
      </c>
      <c r="B53" s="23"/>
    </row>
    <row r="54" spans="1:5" ht="13.5" thickBot="1">
      <c r="A54" s="5" t="s">
        <v>984</v>
      </c>
      <c r="B54" s="25">
        <f>+B52*B53</f>
        <v>0</v>
      </c>
    </row>
    <row r="55" spans="1:5" ht="13.5" thickTop="1">
      <c r="A55" s="4" t="s">
        <v>352</v>
      </c>
      <c r="B55" s="23"/>
    </row>
    <row r="56" spans="1:5">
      <c r="A56" s="4" t="s">
        <v>935</v>
      </c>
      <c r="B56" s="23"/>
    </row>
    <row r="57" spans="1:5" ht="13.5" thickBot="1">
      <c r="A57" s="5" t="s">
        <v>353</v>
      </c>
      <c r="B57" s="25">
        <f>+B55*B56</f>
        <v>0</v>
      </c>
    </row>
    <row r="58" spans="1:5" ht="13.5" thickTop="1">
      <c r="A58" s="5" t="s">
        <v>1006</v>
      </c>
      <c r="B58" s="23" t="str">
        <f>+IF(B57-B54&gt;0.25%,"FAIL","PASS")</f>
        <v>PASS</v>
      </c>
    </row>
    <row r="59" spans="1:5">
      <c r="A59" s="5"/>
      <c r="B59" s="23"/>
    </row>
    <row r="60" spans="1:5">
      <c r="A60" s="1" t="s">
        <v>985</v>
      </c>
      <c r="B60" s="23"/>
    </row>
    <row r="61" spans="1:5">
      <c r="A61" s="2" t="s">
        <v>733</v>
      </c>
      <c r="B61" s="23"/>
    </row>
    <row r="62" spans="1:5">
      <c r="A62" s="2" t="s">
        <v>1041</v>
      </c>
      <c r="B62" s="23"/>
      <c r="E62" s="2" t="s">
        <v>1042</v>
      </c>
    </row>
    <row r="63" spans="1:5">
      <c r="A63" s="5" t="s">
        <v>771</v>
      </c>
      <c r="B63" s="23" t="str">
        <f>+IF(B62&gt;B61+0.3%,"FAIL","PASS")</f>
        <v>PASS</v>
      </c>
    </row>
    <row r="64" spans="1:5">
      <c r="A64" s="5"/>
      <c r="B64" s="23"/>
    </row>
    <row r="65" spans="1:5">
      <c r="A65" s="1" t="s">
        <v>1043</v>
      </c>
      <c r="B65" s="23"/>
    </row>
    <row r="66" spans="1:5">
      <c r="A66" s="2" t="s">
        <v>999</v>
      </c>
      <c r="B66" s="23" t="b">
        <v>1</v>
      </c>
    </row>
    <row r="67" spans="1:5">
      <c r="B67" s="23"/>
    </row>
    <row r="68" spans="1:5">
      <c r="A68" s="1" t="s">
        <v>1000</v>
      </c>
      <c r="B68" s="23" t="b">
        <v>1</v>
      </c>
    </row>
    <row r="69" spans="1:5">
      <c r="A69" s="6"/>
      <c r="B69" s="23"/>
    </row>
    <row r="70" spans="1:5">
      <c r="A70" s="1" t="s">
        <v>1044</v>
      </c>
      <c r="B70" s="23"/>
    </row>
    <row r="71" spans="1:5">
      <c r="A71" s="2" t="s">
        <v>1001</v>
      </c>
      <c r="B71" s="30">
        <v>5.0000000000000001E-3</v>
      </c>
      <c r="E71" s="2" t="s">
        <v>1045</v>
      </c>
    </row>
    <row r="72" spans="1:5">
      <c r="A72" s="5" t="s">
        <v>773</v>
      </c>
      <c r="B72" s="23" t="str">
        <f>+IF(B71&gt;=0.4%,"PASS","FAIL")</f>
        <v>PASS</v>
      </c>
      <c r="E72" s="2" t="s">
        <v>1051</v>
      </c>
    </row>
    <row r="73" spans="1:5">
      <c r="A73" s="5"/>
      <c r="B73" s="23"/>
      <c r="E73" s="2" t="s">
        <v>1052</v>
      </c>
    </row>
    <row r="74" spans="1:5">
      <c r="A74" s="1" t="s">
        <v>1002</v>
      </c>
      <c r="B74" s="23"/>
      <c r="E74" s="2" t="s">
        <v>1053</v>
      </c>
    </row>
    <row r="75" spans="1:5">
      <c r="A75" s="2" t="s">
        <v>1003</v>
      </c>
      <c r="B75" s="23"/>
    </row>
    <row r="76" spans="1:5">
      <c r="A76" s="2" t="s">
        <v>1004</v>
      </c>
      <c r="B76" s="23"/>
    </row>
    <row r="77" spans="1:5">
      <c r="A77" s="5" t="s">
        <v>772</v>
      </c>
      <c r="B77" s="23" t="str">
        <f>+IF(B76&gt;=(B75+0.25%),"FAIL","PASS")</f>
        <v>PASS</v>
      </c>
      <c r="C77" s="4"/>
      <c r="D77" s="4"/>
    </row>
    <row r="78" spans="1:5">
      <c r="B78" s="23"/>
      <c r="C78" s="4"/>
      <c r="D78" s="4"/>
    </row>
    <row r="79" spans="1:5" ht="25.5" customHeight="1">
      <c r="A79" s="26" t="s">
        <v>774</v>
      </c>
      <c r="B79" s="23" t="b">
        <v>1</v>
      </c>
      <c r="C79" s="4"/>
      <c r="D79" s="4"/>
    </row>
    <row r="80" spans="1:5">
      <c r="B80" s="23"/>
    </row>
    <row r="81" spans="1:2">
      <c r="A81" s="1" t="s">
        <v>1005</v>
      </c>
      <c r="B81" s="23" t="b">
        <v>1</v>
      </c>
    </row>
    <row r="82" spans="1:2">
      <c r="B82" s="23"/>
    </row>
    <row r="83" spans="1:2">
      <c r="B83" s="23"/>
    </row>
    <row r="84" spans="1:2">
      <c r="B84" s="23"/>
    </row>
    <row r="85" spans="1:2">
      <c r="B85" s="23"/>
    </row>
    <row r="86" spans="1:2">
      <c r="B86" s="23"/>
    </row>
    <row r="87" spans="1:2">
      <c r="B87" s="23"/>
    </row>
    <row r="88" spans="1:2">
      <c r="B88" s="23"/>
    </row>
    <row r="89" spans="1:2">
      <c r="B89" s="23"/>
    </row>
    <row r="90" spans="1:2">
      <c r="B90" s="23"/>
    </row>
    <row r="91" spans="1:2">
      <c r="B91" s="23"/>
    </row>
    <row r="92" spans="1:2">
      <c r="B92" s="23"/>
    </row>
    <row r="93" spans="1:2">
      <c r="B93" s="23"/>
    </row>
    <row r="94" spans="1:2">
      <c r="B94" s="23"/>
    </row>
    <row r="95" spans="1:2">
      <c r="B95" s="23"/>
    </row>
    <row r="96" spans="1:2">
      <c r="B96" s="23"/>
    </row>
    <row r="97" spans="2:2">
      <c r="B97" s="23"/>
    </row>
    <row r="98" spans="2:2">
      <c r="B98" s="23"/>
    </row>
    <row r="99" spans="2:2">
      <c r="B99" s="23"/>
    </row>
    <row r="100" spans="2:2">
      <c r="B100" s="23"/>
    </row>
    <row r="101" spans="2:2">
      <c r="B101" s="23"/>
    </row>
    <row r="102" spans="2:2">
      <c r="B102" s="23"/>
    </row>
    <row r="103" spans="2:2">
      <c r="B103" s="23"/>
    </row>
    <row r="104" spans="2:2">
      <c r="B104" s="23"/>
    </row>
    <row r="105" spans="2:2">
      <c r="B105" s="23"/>
    </row>
    <row r="106" spans="2:2">
      <c r="B106" s="23"/>
    </row>
    <row r="107" spans="2:2">
      <c r="B107" s="23"/>
    </row>
    <row r="108" spans="2:2">
      <c r="B108" s="23"/>
    </row>
    <row r="109" spans="2:2">
      <c r="B109" s="23"/>
    </row>
    <row r="110" spans="2:2">
      <c r="B110" s="23"/>
    </row>
    <row r="111" spans="2:2">
      <c r="B111" s="23"/>
    </row>
    <row r="112" spans="2:2">
      <c r="B112" s="23"/>
    </row>
    <row r="113" spans="2:2">
      <c r="B113" s="23"/>
    </row>
    <row r="114" spans="2:2">
      <c r="B114" s="23"/>
    </row>
    <row r="115" spans="2:2">
      <c r="B115" s="23"/>
    </row>
    <row r="116" spans="2:2">
      <c r="B116" s="23"/>
    </row>
    <row r="117" spans="2:2">
      <c r="B117" s="23"/>
    </row>
    <row r="118" spans="2:2">
      <c r="B118" s="23"/>
    </row>
    <row r="119" spans="2:2">
      <c r="B119" s="23"/>
    </row>
    <row r="120" spans="2:2">
      <c r="B120" s="23"/>
    </row>
    <row r="121" spans="2:2">
      <c r="B121" s="23"/>
    </row>
    <row r="122" spans="2:2">
      <c r="B122" s="23"/>
    </row>
    <row r="123" spans="2:2">
      <c r="B123" s="23"/>
    </row>
    <row r="124" spans="2:2">
      <c r="B124" s="23"/>
    </row>
    <row r="125" spans="2:2">
      <c r="B125" s="23"/>
    </row>
  </sheetData>
  <phoneticPr fontId="3" type="noConversion"/>
  <pageMargins left="0.75" right="0.75" top="1" bottom="1" header="0.5" footer="0.5"/>
  <pageSetup paperSize="9"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sheetPr codeName="Sheet20" enableFormatConditionsCalculation="0">
    <tabColor theme="0"/>
  </sheetPr>
  <dimension ref="A1:IV672"/>
  <sheetViews>
    <sheetView tabSelected="1" view="pageBreakPreview" zoomScale="75" zoomScaleNormal="70" zoomScaleSheetLayoutView="75" workbookViewId="0">
      <selection activeCell="D9" sqref="D9"/>
    </sheetView>
  </sheetViews>
  <sheetFormatPr defaultRowHeight="12.75"/>
  <cols>
    <col min="1" max="1" width="55.85546875" style="69" customWidth="1"/>
    <col min="2" max="2" width="43.28515625" style="107" customWidth="1"/>
    <col min="3" max="3" width="34.140625" style="59" customWidth="1"/>
    <col min="4" max="4" width="34.140625" style="107" customWidth="1"/>
    <col min="5" max="5" width="22.140625" style="59" customWidth="1"/>
    <col min="6" max="6" width="23.5703125" style="33" customWidth="1"/>
    <col min="7" max="7" width="30.42578125" style="33" customWidth="1"/>
    <col min="8" max="8" width="33.5703125" style="33" customWidth="1"/>
    <col min="9" max="9" width="22.42578125" style="33" customWidth="1"/>
    <col min="10" max="10" width="24.42578125" style="33" customWidth="1"/>
    <col min="11" max="11" width="18.28515625" style="33" customWidth="1"/>
    <col min="12" max="12" width="19.140625" style="33" bestFit="1" customWidth="1"/>
    <col min="13" max="13" width="3.5703125" style="35" customWidth="1"/>
    <col min="14" max="16" width="18.28515625" style="35" customWidth="1"/>
    <col min="17" max="17" width="6.42578125" style="35" customWidth="1"/>
    <col min="18" max="19" width="18.28515625" style="35" customWidth="1"/>
    <col min="20" max="21" width="10.85546875" style="35" customWidth="1"/>
    <col min="22" max="36" width="9.140625" style="35"/>
    <col min="37" max="16384" width="9.140625" style="33"/>
  </cols>
  <sheetData>
    <row r="1" spans="1:7" ht="13.5" customHeight="1">
      <c r="B1" s="411"/>
      <c r="C1" s="275"/>
      <c r="D1" s="274"/>
      <c r="E1" s="275"/>
      <c r="F1" s="86"/>
      <c r="G1" s="86"/>
    </row>
    <row r="2" spans="1:7" ht="23.25">
      <c r="A2" s="417" t="s">
        <v>124</v>
      </c>
      <c r="B2" s="411"/>
      <c r="C2" s="275"/>
      <c r="D2" s="274"/>
      <c r="E2" s="275"/>
      <c r="F2" s="86"/>
      <c r="G2" s="86"/>
    </row>
    <row r="3" spans="1:7" ht="20.25">
      <c r="A3" s="419" t="s">
        <v>722</v>
      </c>
      <c r="B3" s="411"/>
      <c r="C3" s="275"/>
      <c r="D3" s="274"/>
      <c r="E3" s="275"/>
      <c r="F3" s="86"/>
      <c r="G3" s="86"/>
    </row>
    <row r="4" spans="1:7" ht="18.75">
      <c r="A4" s="1057" t="s">
        <v>1104</v>
      </c>
      <c r="C4" s="622"/>
      <c r="F4" s="276"/>
    </row>
    <row r="5" spans="1:7" ht="18.75">
      <c r="A5" s="410"/>
      <c r="B5" s="411"/>
      <c r="C5" s="477"/>
      <c r="D5" s="274"/>
      <c r="E5" s="275"/>
      <c r="F5" s="86"/>
      <c r="G5" s="86"/>
    </row>
    <row r="6" spans="1:7" ht="18.75">
      <c r="A6" s="1112" t="s">
        <v>151</v>
      </c>
      <c r="B6" s="1067">
        <v>41486</v>
      </c>
      <c r="C6" s="624"/>
      <c r="F6" s="276"/>
    </row>
    <row r="7" spans="1:7" ht="18.75">
      <c r="A7" s="1113" t="s">
        <v>1066</v>
      </c>
      <c r="B7" s="1109">
        <v>41426</v>
      </c>
      <c r="C7" s="313"/>
      <c r="F7" s="276"/>
    </row>
    <row r="8" spans="1:7" ht="18.75">
      <c r="A8" s="1113" t="s">
        <v>1067</v>
      </c>
      <c r="B8" s="1109">
        <v>41455</v>
      </c>
      <c r="C8" s="313"/>
      <c r="F8" s="276"/>
    </row>
    <row r="9" spans="1:7" ht="18.75">
      <c r="A9" s="1113" t="s">
        <v>1068</v>
      </c>
      <c r="B9" s="1109">
        <v>41474</v>
      </c>
      <c r="C9" s="313"/>
      <c r="F9" s="276"/>
    </row>
    <row r="10" spans="1:7" ht="18.75">
      <c r="A10" s="1114" t="s">
        <v>170</v>
      </c>
      <c r="B10" s="1068">
        <v>30</v>
      </c>
      <c r="C10" s="910"/>
    </row>
    <row r="11" spans="1:7" ht="18.75">
      <c r="A11" s="1115" t="s">
        <v>171</v>
      </c>
      <c r="B11" s="1069">
        <v>41506</v>
      </c>
      <c r="C11" s="911"/>
    </row>
    <row r="12" spans="1:7" ht="18.75">
      <c r="A12" s="911"/>
      <c r="B12" s="1093"/>
      <c r="C12" s="911"/>
    </row>
    <row r="13" spans="1:7" ht="19.5" customHeight="1">
      <c r="A13" s="273"/>
      <c r="B13" s="274"/>
    </row>
    <row r="14" spans="1:7" ht="96.75" customHeight="1">
      <c r="A14" s="1486" t="s">
        <v>291</v>
      </c>
      <c r="B14" s="1546"/>
      <c r="C14" s="1546"/>
      <c r="D14" s="1547"/>
    </row>
    <row r="15" spans="1:7" ht="19.5" customHeight="1">
      <c r="A15" s="33"/>
      <c r="B15" s="33"/>
      <c r="C15" s="33"/>
      <c r="D15" s="33"/>
    </row>
    <row r="16" spans="1:7" ht="18.75" customHeight="1">
      <c r="A16" s="446" t="s">
        <v>292</v>
      </c>
      <c r="B16" s="445"/>
      <c r="C16" s="447"/>
      <c r="D16" s="448"/>
      <c r="E16" s="279"/>
      <c r="F16" s="69"/>
      <c r="G16" s="69"/>
    </row>
    <row r="17" spans="1:36" ht="46.5" customHeight="1">
      <c r="A17" s="434" t="s">
        <v>89</v>
      </c>
      <c r="B17" s="1489" t="s">
        <v>173</v>
      </c>
      <c r="C17" s="1489"/>
      <c r="D17" s="1490"/>
      <c r="E17" s="48"/>
      <c r="F17" s="48"/>
      <c r="G17" s="48"/>
      <c r="H17" s="48"/>
    </row>
    <row r="18" spans="1:36" ht="19.5" customHeight="1">
      <c r="A18" s="435" t="s">
        <v>598</v>
      </c>
      <c r="B18" s="49" t="s">
        <v>381</v>
      </c>
      <c r="C18" s="49"/>
      <c r="D18" s="1042"/>
      <c r="E18" s="48"/>
      <c r="F18" s="48"/>
      <c r="G18" s="48"/>
      <c r="H18" s="48"/>
    </row>
    <row r="19" spans="1:36" ht="18.75" customHeight="1">
      <c r="A19" s="435" t="s">
        <v>599</v>
      </c>
      <c r="B19" s="1491" t="s">
        <v>526</v>
      </c>
      <c r="C19" s="1491"/>
      <c r="D19" s="1492"/>
      <c r="E19" s="1495"/>
      <c r="F19" s="1496"/>
      <c r="G19" s="1496"/>
      <c r="H19" s="48"/>
    </row>
    <row r="20" spans="1:36" ht="18.75" customHeight="1">
      <c r="A20" s="435" t="s">
        <v>532</v>
      </c>
      <c r="B20" s="49" t="s">
        <v>588</v>
      </c>
      <c r="C20" s="49"/>
      <c r="D20" s="1042"/>
      <c r="E20" s="54"/>
      <c r="F20" s="48"/>
      <c r="G20" s="48"/>
      <c r="H20" s="48"/>
    </row>
    <row r="21" spans="1:36" ht="33" customHeight="1">
      <c r="A21" s="435" t="s">
        <v>490</v>
      </c>
      <c r="B21" s="1491" t="s">
        <v>596</v>
      </c>
      <c r="C21" s="1491"/>
      <c r="D21" s="1492"/>
      <c r="E21" s="1495"/>
      <c r="F21" s="1496"/>
      <c r="G21" s="1496"/>
      <c r="H21" s="48"/>
    </row>
    <row r="22" spans="1:36" ht="21" customHeight="1">
      <c r="A22" s="435" t="s">
        <v>409</v>
      </c>
      <c r="B22" s="1491" t="s">
        <v>1069</v>
      </c>
      <c r="C22" s="1491"/>
      <c r="D22" s="1492"/>
      <c r="E22" s="51" t="s">
        <v>622</v>
      </c>
      <c r="F22" s="51"/>
    </row>
    <row r="23" spans="1:36" ht="22.5" customHeight="1">
      <c r="A23" s="435" t="s">
        <v>156</v>
      </c>
      <c r="B23" s="1491" t="s">
        <v>157</v>
      </c>
      <c r="C23" s="1491"/>
      <c r="D23" s="1492"/>
      <c r="E23" s="51"/>
      <c r="F23" s="51"/>
    </row>
    <row r="24" spans="1:36" ht="24" customHeight="1">
      <c r="A24" s="436" t="s">
        <v>729</v>
      </c>
      <c r="B24" s="1493" t="s">
        <v>597</v>
      </c>
      <c r="C24" s="1493"/>
      <c r="D24" s="1494"/>
      <c r="E24" s="51"/>
      <c r="F24" s="51"/>
    </row>
    <row r="25" spans="1:36">
      <c r="A25" s="48"/>
      <c r="B25" s="280"/>
      <c r="C25" s="281"/>
      <c r="E25" s="281"/>
      <c r="F25" s="282"/>
      <c r="G25" s="282"/>
      <c r="H25" s="282"/>
    </row>
    <row r="26" spans="1:36">
      <c r="A26" s="48"/>
      <c r="C26" s="108"/>
      <c r="D26" s="109"/>
      <c r="E26" s="108"/>
      <c r="F26" s="51"/>
    </row>
    <row r="27" spans="1:36" ht="25.5" customHeight="1">
      <c r="A27" s="449" t="s">
        <v>730</v>
      </c>
      <c r="B27" s="445"/>
      <c r="C27" s="450"/>
      <c r="D27" s="451"/>
      <c r="E27" s="108"/>
      <c r="F27" s="51"/>
    </row>
    <row r="28" spans="1:36" s="51" customFormat="1" ht="23.25" customHeight="1">
      <c r="A28" s="532" t="s">
        <v>731</v>
      </c>
      <c r="B28" s="912" t="s">
        <v>732</v>
      </c>
      <c r="C28" s="534"/>
      <c r="D28" s="535"/>
      <c r="E28" s="108"/>
      <c r="M28" s="52"/>
      <c r="N28" s="52"/>
      <c r="O28" s="52"/>
      <c r="P28" s="52"/>
      <c r="Q28" s="52"/>
      <c r="R28" s="52"/>
      <c r="S28" s="52"/>
      <c r="T28" s="52"/>
      <c r="U28" s="52"/>
      <c r="V28" s="52"/>
      <c r="W28" s="52"/>
      <c r="X28" s="52"/>
      <c r="Y28" s="52"/>
      <c r="Z28" s="52"/>
      <c r="AA28" s="52"/>
      <c r="AB28" s="52"/>
      <c r="AC28" s="52"/>
      <c r="AD28" s="52"/>
      <c r="AE28" s="52"/>
      <c r="AF28" s="52"/>
      <c r="AG28" s="52"/>
      <c r="AH28" s="52"/>
      <c r="AI28" s="52"/>
      <c r="AJ28" s="52"/>
    </row>
    <row r="29" spans="1:36" ht="15.75">
      <c r="A29" s="536"/>
      <c r="B29" s="542"/>
      <c r="C29" s="538"/>
      <c r="D29" s="539"/>
      <c r="E29" s="108"/>
      <c r="F29" s="51"/>
    </row>
    <row r="30" spans="1:36" ht="15.75">
      <c r="A30" s="543" t="s">
        <v>967</v>
      </c>
      <c r="B30" s="544" t="s">
        <v>968</v>
      </c>
      <c r="C30" s="544" t="s">
        <v>433</v>
      </c>
      <c r="D30" s="545" t="s">
        <v>435</v>
      </c>
      <c r="E30" s="33"/>
    </row>
    <row r="31" spans="1:36" ht="15" customHeight="1">
      <c r="A31" s="546" t="s">
        <v>969</v>
      </c>
      <c r="B31" s="547" t="s">
        <v>521</v>
      </c>
      <c r="C31" s="547" t="s">
        <v>12</v>
      </c>
      <c r="D31" s="548" t="s">
        <v>521</v>
      </c>
      <c r="E31" s="33"/>
    </row>
    <row r="32" spans="1:36" ht="15" customHeight="1">
      <c r="A32" s="546" t="s">
        <v>789</v>
      </c>
      <c r="B32" s="547" t="s">
        <v>929</v>
      </c>
      <c r="C32" s="547" t="s">
        <v>791</v>
      </c>
      <c r="D32" s="548" t="s">
        <v>5</v>
      </c>
      <c r="E32" s="33"/>
    </row>
    <row r="33" spans="1:7" ht="15.75">
      <c r="A33" s="549"/>
      <c r="B33" s="550"/>
      <c r="C33" s="551"/>
      <c r="D33" s="552"/>
    </row>
    <row r="34" spans="1:7">
      <c r="A34" s="273"/>
      <c r="B34" s="274"/>
      <c r="E34" s="107"/>
      <c r="F34" s="59"/>
    </row>
    <row r="35" spans="1:7">
      <c r="A35" s="273"/>
      <c r="B35" s="274"/>
      <c r="E35" s="107"/>
      <c r="F35" s="59"/>
    </row>
    <row r="36" spans="1:7" ht="18.75">
      <c r="A36" s="421" t="s">
        <v>1008</v>
      </c>
      <c r="E36" s="107"/>
      <c r="F36" s="59"/>
    </row>
    <row r="37" spans="1:7">
      <c r="A37" s="284"/>
      <c r="E37" s="107"/>
      <c r="F37" s="59"/>
    </row>
    <row r="38" spans="1:7" ht="15.75">
      <c r="A38" s="1219" t="s">
        <v>184</v>
      </c>
      <c r="B38" s="1220" t="s">
        <v>1128</v>
      </c>
      <c r="C38" s="1220" t="s">
        <v>1126</v>
      </c>
      <c r="D38" s="1221" t="s">
        <v>872</v>
      </c>
      <c r="G38" s="86"/>
    </row>
    <row r="39" spans="1:7" ht="5.25" customHeight="1">
      <c r="A39" s="1180"/>
      <c r="B39" s="1222"/>
      <c r="C39" s="1223"/>
      <c r="D39" s="1159"/>
    </row>
    <row r="40" spans="1:7" ht="15" customHeight="1">
      <c r="A40" s="1154" t="s">
        <v>85</v>
      </c>
      <c r="B40" s="1224">
        <v>91137</v>
      </c>
      <c r="C40" s="1224">
        <v>91951</v>
      </c>
      <c r="D40" s="1225">
        <v>139484</v>
      </c>
      <c r="G40" s="993"/>
    </row>
    <row r="41" spans="1:7" ht="15" customHeight="1">
      <c r="A41" s="1154" t="s">
        <v>86</v>
      </c>
      <c r="B41" s="1226">
        <v>9300995038.3100014</v>
      </c>
      <c r="C41" s="1226">
        <v>9414075727.8899994</v>
      </c>
      <c r="D41" s="1159">
        <v>15399324381.5</v>
      </c>
      <c r="G41" s="280"/>
    </row>
    <row r="42" spans="1:7" ht="15" customHeight="1">
      <c r="A42" s="1154" t="s">
        <v>87</v>
      </c>
      <c r="B42" s="1226">
        <v>8767407496.8800011</v>
      </c>
      <c r="C42" s="1226">
        <v>8880780903.9299984</v>
      </c>
      <c r="D42" s="1159">
        <v>15206852094.48</v>
      </c>
      <c r="G42" s="280"/>
    </row>
    <row r="43" spans="1:7" ht="15" customHeight="1">
      <c r="A43" s="1154" t="s">
        <v>868</v>
      </c>
      <c r="B43" s="1226">
        <v>96200.308292789981</v>
      </c>
      <c r="C43" s="1226">
        <v>96581.667452556241</v>
      </c>
      <c r="D43" s="1159"/>
      <c r="F43" s="1307"/>
      <c r="G43" s="280"/>
    </row>
    <row r="44" spans="1:7" ht="15" customHeight="1">
      <c r="A44" s="1154" t="s">
        <v>869</v>
      </c>
      <c r="B44" s="1226">
        <v>102055.09330250065</v>
      </c>
      <c r="C44" s="1226">
        <v>102381.43933062174</v>
      </c>
      <c r="D44" s="1159"/>
      <c r="G44" s="280"/>
    </row>
    <row r="45" spans="1:7" ht="15" customHeight="1">
      <c r="A45" s="1154" t="s">
        <v>862</v>
      </c>
      <c r="B45" s="1227">
        <v>240.6</v>
      </c>
      <c r="C45" s="1227">
        <v>240.56</v>
      </c>
      <c r="D45" s="1144">
        <v>241.63</v>
      </c>
      <c r="G45" s="282"/>
    </row>
    <row r="46" spans="1:7" ht="15" customHeight="1">
      <c r="A46" s="1154" t="s">
        <v>864</v>
      </c>
      <c r="B46" s="1228">
        <v>0.57679800000000003</v>
      </c>
      <c r="C46" s="1228">
        <v>0.57670699999999997</v>
      </c>
      <c r="D46" s="1159"/>
      <c r="G46" s="281"/>
    </row>
    <row r="47" spans="1:7" ht="15" customHeight="1">
      <c r="A47" s="1229"/>
      <c r="B47" s="1230"/>
      <c r="C47" s="1231"/>
      <c r="D47" s="1213"/>
    </row>
    <row r="48" spans="1:7" ht="15" customHeight="1">
      <c r="A48" s="988"/>
      <c r="B48" s="832"/>
      <c r="C48" s="35"/>
      <c r="D48" s="278"/>
    </row>
    <row r="49" spans="1:36" ht="15" customHeight="1">
      <c r="A49" s="988"/>
      <c r="B49" s="832"/>
      <c r="C49" s="35"/>
      <c r="D49" s="278"/>
    </row>
    <row r="50" spans="1:36" ht="15" customHeight="1">
      <c r="A50" s="1059"/>
      <c r="B50" s="554" t="s">
        <v>174</v>
      </c>
      <c r="C50" s="555" t="s">
        <v>175</v>
      </c>
      <c r="D50" s="554" t="s">
        <v>176</v>
      </c>
      <c r="E50" s="313"/>
    </row>
    <row r="51" spans="1:36" ht="15" customHeight="1">
      <c r="A51" s="423" t="s">
        <v>177</v>
      </c>
      <c r="B51" s="1060">
        <v>0</v>
      </c>
      <c r="C51" s="1060">
        <v>88.91</v>
      </c>
      <c r="D51" s="1061">
        <v>0.1159</v>
      </c>
      <c r="E51" s="913"/>
    </row>
    <row r="52" spans="1:36" ht="15" customHeight="1">
      <c r="A52" s="423" t="s">
        <v>723</v>
      </c>
      <c r="B52" s="819">
        <v>6.7000000000000002E-3</v>
      </c>
      <c r="C52" s="819">
        <v>7.1900000000000006E-2</v>
      </c>
      <c r="D52" s="1062">
        <v>1.9219E-2</v>
      </c>
      <c r="E52" s="313"/>
    </row>
    <row r="53" spans="1:36" ht="15" customHeight="1">
      <c r="A53" s="423" t="s">
        <v>178</v>
      </c>
      <c r="B53" s="819">
        <v>0</v>
      </c>
      <c r="C53" s="819">
        <v>0.9657</v>
      </c>
      <c r="D53" s="564">
        <v>0.59367959999999997</v>
      </c>
      <c r="E53" s="313"/>
    </row>
    <row r="54" spans="1:36" ht="15" customHeight="1">
      <c r="A54" s="423" t="s">
        <v>179</v>
      </c>
      <c r="B54" s="819">
        <v>1E-4</v>
      </c>
      <c r="C54" s="819">
        <v>1.9540999999999999</v>
      </c>
      <c r="D54" s="564">
        <v>0.57509699999999997</v>
      </c>
      <c r="E54" s="313"/>
    </row>
    <row r="55" spans="1:36" ht="15" customHeight="1">
      <c r="A55" s="423" t="s">
        <v>180</v>
      </c>
      <c r="B55" s="819">
        <v>1E-4</v>
      </c>
      <c r="C55" s="819">
        <v>0.96509999999999996</v>
      </c>
      <c r="D55" s="564">
        <v>0.52107599999999998</v>
      </c>
      <c r="E55" s="313"/>
    </row>
    <row r="56" spans="1:36" ht="15" customHeight="1">
      <c r="A56" s="423" t="s">
        <v>181</v>
      </c>
      <c r="B56" s="565">
        <v>0</v>
      </c>
      <c r="C56" s="1063">
        <v>999699.3</v>
      </c>
      <c r="D56" s="1063">
        <v>171035.0055</v>
      </c>
      <c r="E56" s="313"/>
    </row>
    <row r="57" spans="1:36" ht="15" customHeight="1">
      <c r="A57" s="423" t="s">
        <v>182</v>
      </c>
      <c r="B57" s="1064">
        <v>0</v>
      </c>
      <c r="C57" s="1064">
        <v>33</v>
      </c>
      <c r="D57" s="1061">
        <v>14.44</v>
      </c>
      <c r="E57" s="313"/>
    </row>
    <row r="58" spans="1:36" ht="15" customHeight="1">
      <c r="A58" s="425" t="s">
        <v>183</v>
      </c>
      <c r="B58" s="1065">
        <v>20</v>
      </c>
      <c r="C58" s="1065">
        <v>109</v>
      </c>
      <c r="D58" s="1066">
        <v>67.59</v>
      </c>
      <c r="E58" s="313"/>
    </row>
    <row r="59" spans="1:36" ht="15" customHeight="1">
      <c r="A59" s="988" t="s">
        <v>724</v>
      </c>
      <c r="B59" s="994"/>
      <c r="C59" s="994"/>
      <c r="D59" s="995"/>
      <c r="E59" s="313"/>
    </row>
    <row r="60" spans="1:36" ht="15" customHeight="1">
      <c r="A60" s="831" t="s">
        <v>1129</v>
      </c>
      <c r="B60" s="832"/>
      <c r="C60" s="35"/>
      <c r="D60" s="278"/>
    </row>
    <row r="61" spans="1:36">
      <c r="A61" s="996" t="s">
        <v>725</v>
      </c>
      <c r="B61" s="997"/>
      <c r="C61" s="35"/>
      <c r="D61" s="35"/>
      <c r="E61" s="33"/>
      <c r="F61" s="288"/>
      <c r="G61" s="111"/>
    </row>
    <row r="63" spans="1:36" s="1372" customFormat="1">
      <c r="A63" s="1369"/>
      <c r="B63" s="1370"/>
      <c r="C63" s="1371"/>
      <c r="F63" s="1373"/>
      <c r="G63" s="1374"/>
      <c r="M63" s="1375"/>
      <c r="N63" s="1375"/>
      <c r="O63" s="1375"/>
      <c r="P63" s="1375"/>
      <c r="Q63" s="1375"/>
      <c r="R63" s="1375"/>
      <c r="S63" s="1375"/>
      <c r="T63" s="1375"/>
      <c r="U63" s="1375"/>
      <c r="V63" s="1375"/>
      <c r="W63" s="1375"/>
      <c r="X63" s="1375"/>
      <c r="Y63" s="1375"/>
      <c r="Z63" s="1375"/>
      <c r="AA63" s="1375"/>
      <c r="AB63" s="1375"/>
      <c r="AC63" s="1375"/>
      <c r="AD63" s="1375"/>
      <c r="AE63" s="1375"/>
      <c r="AF63" s="1375"/>
      <c r="AG63" s="1375"/>
      <c r="AH63" s="1375"/>
      <c r="AI63" s="1375"/>
      <c r="AJ63" s="1375"/>
    </row>
    <row r="64" spans="1:36" s="1372" customFormat="1" ht="18.75">
      <c r="A64" s="1376" t="s">
        <v>410</v>
      </c>
      <c r="B64" s="1370"/>
      <c r="C64" s="1371"/>
      <c r="F64" s="1373"/>
      <c r="G64" s="1374"/>
      <c r="M64" s="1375"/>
      <c r="N64" s="1375"/>
      <c r="O64" s="1375"/>
      <c r="P64" s="1375"/>
      <c r="Q64" s="1375"/>
      <c r="R64" s="1375"/>
      <c r="S64" s="1375"/>
      <c r="T64" s="1375"/>
      <c r="U64" s="1375"/>
      <c r="V64" s="1375"/>
      <c r="W64" s="1375"/>
      <c r="X64" s="1375"/>
      <c r="Y64" s="1375"/>
      <c r="Z64" s="1375"/>
      <c r="AA64" s="1375"/>
      <c r="AB64" s="1375"/>
      <c r="AC64" s="1375"/>
      <c r="AD64" s="1375"/>
      <c r="AE64" s="1375"/>
      <c r="AF64" s="1375"/>
      <c r="AG64" s="1375"/>
      <c r="AH64" s="1375"/>
      <c r="AI64" s="1375"/>
      <c r="AJ64" s="1375"/>
    </row>
    <row r="65" spans="1:36" s="1372" customFormat="1">
      <c r="A65" s="1369"/>
      <c r="B65" s="1370"/>
      <c r="C65" s="1371"/>
      <c r="F65" s="1373"/>
      <c r="G65" s="1374"/>
      <c r="M65" s="1375"/>
      <c r="N65" s="1375"/>
      <c r="O65" s="1375"/>
      <c r="P65" s="1375"/>
      <c r="Q65" s="1375"/>
      <c r="R65" s="1375"/>
      <c r="S65" s="1375"/>
      <c r="T65" s="1375"/>
      <c r="U65" s="1375"/>
      <c r="V65" s="1375"/>
      <c r="W65" s="1375"/>
      <c r="X65" s="1375"/>
      <c r="Y65" s="1375"/>
      <c r="Z65" s="1375"/>
      <c r="AA65" s="1375"/>
      <c r="AB65" s="1375"/>
      <c r="AC65" s="1375"/>
      <c r="AD65" s="1375"/>
      <c r="AE65" s="1375"/>
      <c r="AF65" s="1375"/>
      <c r="AG65" s="1375"/>
      <c r="AH65" s="1375"/>
      <c r="AI65" s="1375"/>
      <c r="AJ65" s="1375"/>
    </row>
    <row r="66" spans="1:36" s="1372" customFormat="1" ht="15" customHeight="1">
      <c r="A66" s="1377" t="s">
        <v>700</v>
      </c>
      <c r="B66" s="1370"/>
      <c r="C66" s="1378"/>
      <c r="F66" s="1373"/>
      <c r="G66" s="1377" t="s">
        <v>328</v>
      </c>
      <c r="H66" s="1370"/>
      <c r="I66" s="1371"/>
      <c r="J66" s="1370"/>
      <c r="K66" s="1371"/>
      <c r="M66" s="1375"/>
      <c r="N66" s="1375"/>
      <c r="O66" s="1375"/>
      <c r="P66" s="1375"/>
      <c r="Q66" s="1375"/>
      <c r="R66" s="1375"/>
      <c r="S66" s="1375"/>
      <c r="T66" s="1375"/>
      <c r="U66" s="1375"/>
      <c r="V66" s="1375"/>
      <c r="W66" s="1375"/>
      <c r="X66" s="1375"/>
      <c r="Y66" s="1375"/>
      <c r="Z66" s="1375"/>
      <c r="AA66" s="1375"/>
      <c r="AB66" s="1375"/>
      <c r="AC66" s="1375"/>
      <c r="AD66" s="1375"/>
      <c r="AE66" s="1375"/>
      <c r="AF66" s="1375"/>
      <c r="AG66" s="1375"/>
      <c r="AH66" s="1375"/>
      <c r="AI66" s="1375"/>
      <c r="AJ66" s="1375"/>
    </row>
    <row r="67" spans="1:36" s="1372" customFormat="1">
      <c r="A67" s="1379" t="s">
        <v>1009</v>
      </c>
      <c r="B67" s="1380" t="s">
        <v>943</v>
      </c>
      <c r="C67" s="1381" t="s">
        <v>1010</v>
      </c>
      <c r="D67" s="1380" t="s">
        <v>1011</v>
      </c>
      <c r="E67" s="1381" t="s">
        <v>945</v>
      </c>
      <c r="F67" s="1382"/>
      <c r="G67" s="1383" t="s">
        <v>1009</v>
      </c>
      <c r="H67" s="1380" t="s">
        <v>943</v>
      </c>
      <c r="I67" s="1381" t="s">
        <v>1010</v>
      </c>
      <c r="J67" s="1380" t="s">
        <v>892</v>
      </c>
      <c r="K67" s="1381" t="s">
        <v>1010</v>
      </c>
      <c r="M67" s="1375"/>
      <c r="N67" s="1375"/>
      <c r="O67" s="1375"/>
      <c r="P67" s="1375"/>
      <c r="Q67" s="1375"/>
      <c r="R67" s="1375"/>
      <c r="S67" s="1375"/>
      <c r="T67" s="1375"/>
      <c r="U67" s="1375"/>
      <c r="V67" s="1375"/>
      <c r="W67" s="1375"/>
      <c r="X67" s="1375"/>
      <c r="Y67" s="1375"/>
      <c r="Z67" s="1375"/>
      <c r="AA67" s="1375"/>
      <c r="AB67" s="1375"/>
      <c r="AC67" s="1375"/>
      <c r="AD67" s="1375"/>
      <c r="AE67" s="1375"/>
      <c r="AF67" s="1375"/>
      <c r="AG67" s="1375"/>
      <c r="AH67" s="1375"/>
      <c r="AI67" s="1375"/>
      <c r="AJ67" s="1375"/>
    </row>
    <row r="68" spans="1:36" s="1372" customFormat="1">
      <c r="A68" s="1384" t="s">
        <v>1012</v>
      </c>
      <c r="B68" s="1385">
        <v>153796.43</v>
      </c>
      <c r="C68" s="1386">
        <v>2.0000000000000002E-5</v>
      </c>
      <c r="D68" s="1387">
        <v>1</v>
      </c>
      <c r="E68" s="1386">
        <v>1.0000000000000001E-5</v>
      </c>
      <c r="F68" s="1373"/>
      <c r="G68" s="1384" t="s">
        <v>257</v>
      </c>
      <c r="H68" s="1385">
        <v>240420300.34</v>
      </c>
      <c r="I68" s="1386">
        <v>2.5850000000000001E-2</v>
      </c>
      <c r="J68" s="1387">
        <v>4015</v>
      </c>
      <c r="K68" s="1386">
        <v>4.4049999999999999E-2</v>
      </c>
      <c r="M68" s="1375"/>
      <c r="N68" s="1375"/>
      <c r="O68" s="1375"/>
      <c r="P68" s="1375"/>
      <c r="Q68" s="1375"/>
      <c r="R68" s="1375"/>
      <c r="S68" s="1375"/>
      <c r="T68" s="1375"/>
      <c r="U68" s="1375"/>
      <c r="V68" s="1375"/>
      <c r="W68" s="1375"/>
      <c r="X68" s="1375"/>
      <c r="Y68" s="1375"/>
      <c r="Z68" s="1375"/>
      <c r="AA68" s="1375"/>
      <c r="AB68" s="1375"/>
      <c r="AC68" s="1375"/>
      <c r="AD68" s="1375"/>
      <c r="AE68" s="1375"/>
      <c r="AF68" s="1375"/>
      <c r="AG68" s="1375"/>
      <c r="AH68" s="1375"/>
      <c r="AI68" s="1375"/>
      <c r="AJ68" s="1375"/>
    </row>
    <row r="69" spans="1:36" s="1372" customFormat="1">
      <c r="A69" s="1384" t="s">
        <v>1013</v>
      </c>
      <c r="B69" s="1385">
        <v>1136355.1200000001</v>
      </c>
      <c r="C69" s="1386">
        <v>1.2E-4</v>
      </c>
      <c r="D69" s="1387">
        <v>15</v>
      </c>
      <c r="E69" s="1386">
        <v>1.6000000000000001E-4</v>
      </c>
      <c r="F69" s="1373"/>
      <c r="G69" s="1384" t="s">
        <v>258</v>
      </c>
      <c r="H69" s="1385">
        <v>430435076.06</v>
      </c>
      <c r="I69" s="1386">
        <v>4.6280000000000002E-2</v>
      </c>
      <c r="J69" s="1387">
        <v>6265</v>
      </c>
      <c r="K69" s="1386">
        <v>6.8739999999999996E-2</v>
      </c>
      <c r="M69" s="1375"/>
      <c r="N69" s="1375"/>
      <c r="O69" s="1375"/>
      <c r="P69" s="1375"/>
      <c r="Q69" s="1375"/>
      <c r="R69" s="1375"/>
      <c r="S69" s="1375"/>
      <c r="T69" s="1375"/>
      <c r="U69" s="1375"/>
      <c r="V69" s="1375"/>
      <c r="W69" s="1375"/>
      <c r="X69" s="1375"/>
      <c r="Y69" s="1375"/>
      <c r="Z69" s="1375"/>
      <c r="AA69" s="1375"/>
      <c r="AB69" s="1375"/>
      <c r="AC69" s="1375"/>
      <c r="AD69" s="1375"/>
      <c r="AE69" s="1375"/>
      <c r="AF69" s="1375"/>
      <c r="AG69" s="1375"/>
      <c r="AH69" s="1375"/>
      <c r="AI69" s="1375"/>
      <c r="AJ69" s="1375"/>
    </row>
    <row r="70" spans="1:36" s="1372" customFormat="1">
      <c r="A70" s="1384" t="s">
        <v>1014</v>
      </c>
      <c r="B70" s="1385">
        <v>78267275.870000005</v>
      </c>
      <c r="C70" s="1386">
        <v>8.4100000000000008E-3</v>
      </c>
      <c r="D70" s="1387">
        <v>1107</v>
      </c>
      <c r="E70" s="1386">
        <v>1.2149999999999999E-2</v>
      </c>
      <c r="F70" s="1382"/>
      <c r="G70" s="1384" t="s">
        <v>259</v>
      </c>
      <c r="H70" s="1385">
        <v>461504319.94999999</v>
      </c>
      <c r="I70" s="1386">
        <v>4.9619999999999997E-2</v>
      </c>
      <c r="J70" s="1387">
        <v>6111</v>
      </c>
      <c r="K70" s="1386">
        <v>6.7049999999999998E-2</v>
      </c>
      <c r="M70" s="1375"/>
      <c r="N70" s="1375"/>
      <c r="O70" s="1375"/>
      <c r="P70" s="1375"/>
      <c r="Q70" s="1375"/>
      <c r="R70" s="1375"/>
      <c r="S70" s="1375"/>
      <c r="T70" s="1375"/>
      <c r="U70" s="1375"/>
      <c r="V70" s="1375"/>
      <c r="W70" s="1375"/>
      <c r="X70" s="1375"/>
      <c r="Y70" s="1375"/>
      <c r="Z70" s="1375"/>
      <c r="AA70" s="1375"/>
      <c r="AB70" s="1375"/>
      <c r="AC70" s="1375"/>
      <c r="AD70" s="1375"/>
      <c r="AE70" s="1375"/>
      <c r="AF70" s="1375"/>
      <c r="AG70" s="1375"/>
      <c r="AH70" s="1375"/>
      <c r="AI70" s="1375"/>
      <c r="AJ70" s="1375"/>
    </row>
    <row r="71" spans="1:36" s="1372" customFormat="1">
      <c r="A71" s="1384" t="s">
        <v>1015</v>
      </c>
      <c r="B71" s="1385">
        <v>163556361.44999999</v>
      </c>
      <c r="C71" s="1386">
        <v>1.7579999999999998E-2</v>
      </c>
      <c r="D71" s="1387">
        <v>2671</v>
      </c>
      <c r="E71" s="1386">
        <v>2.9309999999999999E-2</v>
      </c>
      <c r="F71" s="1373"/>
      <c r="G71" s="1384" t="s">
        <v>260</v>
      </c>
      <c r="H71" s="1385">
        <v>566569125.64999998</v>
      </c>
      <c r="I71" s="1386">
        <v>6.0909999999999999E-2</v>
      </c>
      <c r="J71" s="1387">
        <v>7037</v>
      </c>
      <c r="K71" s="1386">
        <v>7.7210000000000001E-2</v>
      </c>
      <c r="M71" s="1375"/>
      <c r="N71" s="1375"/>
      <c r="O71" s="1375"/>
      <c r="P71" s="1375"/>
      <c r="Q71" s="1375"/>
      <c r="R71" s="1375"/>
      <c r="S71" s="1375"/>
      <c r="T71" s="1375"/>
      <c r="U71" s="1375"/>
      <c r="V71" s="1375"/>
      <c r="W71" s="1375"/>
      <c r="X71" s="1375"/>
      <c r="Y71" s="1375"/>
      <c r="Z71" s="1375"/>
      <c r="AA71" s="1375"/>
      <c r="AB71" s="1375"/>
      <c r="AC71" s="1375"/>
      <c r="AD71" s="1375"/>
      <c r="AE71" s="1375"/>
      <c r="AF71" s="1375"/>
      <c r="AG71" s="1375"/>
      <c r="AH71" s="1375"/>
      <c r="AI71" s="1375"/>
      <c r="AJ71" s="1375"/>
    </row>
    <row r="72" spans="1:36" s="1372" customFormat="1">
      <c r="A72" s="1384" t="s">
        <v>1016</v>
      </c>
      <c r="B72" s="1385">
        <v>540387998.95000005</v>
      </c>
      <c r="C72" s="1386">
        <v>5.8099999999999999E-2</v>
      </c>
      <c r="D72" s="1387">
        <v>7581</v>
      </c>
      <c r="E72" s="1386">
        <v>8.3180000000000004E-2</v>
      </c>
      <c r="F72" s="1373"/>
      <c r="G72" s="1384" t="s">
        <v>261</v>
      </c>
      <c r="H72" s="1385">
        <v>767780991.62</v>
      </c>
      <c r="I72" s="1386">
        <v>8.2549999999999998E-2</v>
      </c>
      <c r="J72" s="1387">
        <v>8471</v>
      </c>
      <c r="K72" s="1386">
        <v>9.2950000000000005E-2</v>
      </c>
      <c r="M72" s="1375"/>
      <c r="N72" s="1375"/>
      <c r="O72" s="1375"/>
      <c r="P72" s="1375"/>
      <c r="Q72" s="1375"/>
      <c r="R72" s="1375"/>
      <c r="S72" s="1375"/>
      <c r="T72" s="1375"/>
      <c r="U72" s="1375"/>
      <c r="V72" s="1375"/>
      <c r="W72" s="1375"/>
      <c r="X72" s="1375"/>
      <c r="Y72" s="1375"/>
      <c r="Z72" s="1375"/>
      <c r="AA72" s="1375"/>
      <c r="AB72" s="1375"/>
      <c r="AC72" s="1375"/>
      <c r="AD72" s="1375"/>
      <c r="AE72" s="1375"/>
      <c r="AF72" s="1375"/>
      <c r="AG72" s="1375"/>
      <c r="AH72" s="1375"/>
      <c r="AI72" s="1375"/>
      <c r="AJ72" s="1375"/>
    </row>
    <row r="73" spans="1:36" s="1372" customFormat="1">
      <c r="A73" s="1384" t="s">
        <v>1017</v>
      </c>
      <c r="B73" s="1385">
        <v>362218997.63</v>
      </c>
      <c r="C73" s="1386">
        <v>3.8940000000000002E-2</v>
      </c>
      <c r="D73" s="1387">
        <v>4937</v>
      </c>
      <c r="E73" s="1386">
        <v>5.4170000000000003E-2</v>
      </c>
      <c r="F73" s="1382"/>
      <c r="G73" s="1384" t="s">
        <v>262</v>
      </c>
      <c r="H73" s="1385">
        <v>783801149.63999999</v>
      </c>
      <c r="I73" s="1386">
        <v>8.4269999999999998E-2</v>
      </c>
      <c r="J73" s="1387">
        <v>8125</v>
      </c>
      <c r="K73" s="1386">
        <v>8.9149999999999993E-2</v>
      </c>
      <c r="M73" s="1375"/>
      <c r="N73" s="1375"/>
      <c r="O73" s="1375"/>
      <c r="P73" s="1375"/>
      <c r="Q73" s="1375"/>
      <c r="R73" s="1375"/>
      <c r="S73" s="1375"/>
      <c r="T73" s="1375"/>
      <c r="U73" s="1375"/>
      <c r="V73" s="1375"/>
      <c r="W73" s="1375"/>
      <c r="X73" s="1375"/>
      <c r="Y73" s="1375"/>
      <c r="Z73" s="1375"/>
      <c r="AA73" s="1375"/>
      <c r="AB73" s="1375"/>
      <c r="AC73" s="1375"/>
      <c r="AD73" s="1375"/>
      <c r="AE73" s="1375"/>
      <c r="AF73" s="1375"/>
      <c r="AG73" s="1375"/>
      <c r="AH73" s="1375"/>
      <c r="AI73" s="1375"/>
      <c r="AJ73" s="1375"/>
    </row>
    <row r="74" spans="1:36" s="1372" customFormat="1">
      <c r="A74" s="1384" t="s">
        <v>1018</v>
      </c>
      <c r="B74" s="1385">
        <v>463811551.25999999</v>
      </c>
      <c r="C74" s="1386">
        <v>4.9869999999999998E-2</v>
      </c>
      <c r="D74" s="1387">
        <v>5668</v>
      </c>
      <c r="E74" s="1386">
        <v>6.2190000000000002E-2</v>
      </c>
      <c r="F74" s="1373"/>
      <c r="G74" s="1384" t="s">
        <v>263</v>
      </c>
      <c r="H74" s="1385">
        <v>1236433392.73</v>
      </c>
      <c r="I74" s="1386">
        <v>0.13294</v>
      </c>
      <c r="J74" s="1387">
        <v>11630</v>
      </c>
      <c r="K74" s="1386">
        <v>0.12761</v>
      </c>
      <c r="M74" s="1375"/>
      <c r="N74" s="1375"/>
      <c r="O74" s="1375"/>
      <c r="P74" s="1375"/>
      <c r="Q74" s="1375"/>
      <c r="R74" s="1375"/>
      <c r="S74" s="1375"/>
      <c r="T74" s="1375"/>
      <c r="U74" s="1375"/>
      <c r="V74" s="1375"/>
      <c r="W74" s="1375"/>
      <c r="X74" s="1375"/>
      <c r="Y74" s="1375"/>
      <c r="Z74" s="1375"/>
      <c r="AA74" s="1375"/>
      <c r="AB74" s="1375"/>
      <c r="AC74" s="1375"/>
      <c r="AD74" s="1375"/>
      <c r="AE74" s="1375"/>
      <c r="AF74" s="1375"/>
      <c r="AG74" s="1375"/>
      <c r="AH74" s="1375"/>
      <c r="AI74" s="1375"/>
      <c r="AJ74" s="1375"/>
    </row>
    <row r="75" spans="1:36" s="1372" customFormat="1">
      <c r="A75" s="1384" t="s">
        <v>1019</v>
      </c>
      <c r="B75" s="1385">
        <v>951656015.94000006</v>
      </c>
      <c r="C75" s="1386">
        <v>0.10231999999999999</v>
      </c>
      <c r="D75" s="1387">
        <v>10545</v>
      </c>
      <c r="E75" s="1386">
        <v>0.1157</v>
      </c>
      <c r="F75" s="1373"/>
      <c r="G75" s="1384" t="s">
        <v>264</v>
      </c>
      <c r="H75" s="1385">
        <v>1170234961.5699999</v>
      </c>
      <c r="I75" s="1386">
        <v>0.12581999999999999</v>
      </c>
      <c r="J75" s="1387">
        <v>10542</v>
      </c>
      <c r="K75" s="1386">
        <v>0.11567</v>
      </c>
      <c r="M75" s="1375"/>
      <c r="N75" s="1375"/>
      <c r="O75" s="1375"/>
      <c r="P75" s="1375"/>
      <c r="Q75" s="1375"/>
      <c r="R75" s="1375"/>
      <c r="S75" s="1375"/>
      <c r="T75" s="1375"/>
      <c r="U75" s="1375"/>
      <c r="V75" s="1375"/>
      <c r="W75" s="1375"/>
      <c r="X75" s="1375"/>
      <c r="Y75" s="1375"/>
      <c r="Z75" s="1375"/>
      <c r="AA75" s="1375"/>
      <c r="AB75" s="1375"/>
      <c r="AC75" s="1375"/>
      <c r="AD75" s="1375"/>
      <c r="AE75" s="1375"/>
      <c r="AF75" s="1375"/>
      <c r="AG75" s="1375"/>
      <c r="AH75" s="1375"/>
      <c r="AI75" s="1375"/>
      <c r="AJ75" s="1375"/>
    </row>
    <row r="76" spans="1:36" s="1372" customFormat="1">
      <c r="A76" s="1384" t="s">
        <v>1020</v>
      </c>
      <c r="B76" s="1385">
        <v>809463905.15999997</v>
      </c>
      <c r="C76" s="1386">
        <v>8.7029999999999996E-2</v>
      </c>
      <c r="D76" s="1387">
        <v>8210</v>
      </c>
      <c r="E76" s="1386">
        <v>9.0079999999999993E-2</v>
      </c>
      <c r="F76" s="1382"/>
      <c r="G76" s="1384" t="s">
        <v>265</v>
      </c>
      <c r="H76" s="1385">
        <v>1361549302.74</v>
      </c>
      <c r="I76" s="1386">
        <v>0.14638999999999999</v>
      </c>
      <c r="J76" s="1387">
        <v>11358</v>
      </c>
      <c r="K76" s="1386">
        <v>0.12463</v>
      </c>
      <c r="M76" s="1375"/>
      <c r="N76" s="1375"/>
      <c r="O76" s="1375"/>
      <c r="P76" s="1375"/>
      <c r="Q76" s="1375"/>
      <c r="R76" s="1375"/>
      <c r="S76" s="1375"/>
      <c r="T76" s="1375"/>
      <c r="U76" s="1375"/>
      <c r="V76" s="1375"/>
      <c r="W76" s="1375"/>
      <c r="X76" s="1375"/>
      <c r="Y76" s="1375"/>
      <c r="Z76" s="1375"/>
      <c r="AA76" s="1375"/>
      <c r="AB76" s="1375"/>
      <c r="AC76" s="1375"/>
      <c r="AD76" s="1375"/>
      <c r="AE76" s="1375"/>
      <c r="AF76" s="1375"/>
      <c r="AG76" s="1375"/>
      <c r="AH76" s="1375"/>
      <c r="AI76" s="1375"/>
      <c r="AJ76" s="1375"/>
    </row>
    <row r="77" spans="1:36" s="1372" customFormat="1">
      <c r="A77" s="1384" t="s">
        <v>1021</v>
      </c>
      <c r="B77" s="1385">
        <v>1535380524.8900001</v>
      </c>
      <c r="C77" s="1386">
        <v>0.16508</v>
      </c>
      <c r="D77" s="1387">
        <v>13855</v>
      </c>
      <c r="E77" s="1386">
        <v>0.15201999999999999</v>
      </c>
      <c r="F77" s="1373"/>
      <c r="G77" s="1384" t="s">
        <v>266</v>
      </c>
      <c r="H77" s="1385">
        <v>1089849898.6800001</v>
      </c>
      <c r="I77" s="1386">
        <v>0.11718000000000001</v>
      </c>
      <c r="J77" s="1387">
        <v>8417</v>
      </c>
      <c r="K77" s="1386">
        <v>9.2359999999999998E-2</v>
      </c>
      <c r="M77" s="1375"/>
      <c r="N77" s="1375"/>
      <c r="O77" s="1375"/>
      <c r="P77" s="1375"/>
      <c r="Q77" s="1375"/>
      <c r="R77" s="1375"/>
      <c r="S77" s="1375"/>
      <c r="T77" s="1375"/>
      <c r="U77" s="1375"/>
      <c r="V77" s="1375"/>
      <c r="W77" s="1375"/>
      <c r="X77" s="1375"/>
      <c r="Y77" s="1375"/>
      <c r="Z77" s="1375"/>
      <c r="AA77" s="1375"/>
      <c r="AB77" s="1375"/>
      <c r="AC77" s="1375"/>
      <c r="AD77" s="1375"/>
      <c r="AE77" s="1375"/>
      <c r="AF77" s="1375"/>
      <c r="AG77" s="1375"/>
      <c r="AH77" s="1375"/>
      <c r="AI77" s="1375"/>
      <c r="AJ77" s="1375"/>
    </row>
    <row r="78" spans="1:36" s="1372" customFormat="1">
      <c r="A78" s="1384" t="s">
        <v>1022</v>
      </c>
      <c r="B78" s="1385">
        <v>787972686.75</v>
      </c>
      <c r="C78" s="1386">
        <v>8.4720000000000004E-2</v>
      </c>
      <c r="D78" s="1387">
        <v>7225</v>
      </c>
      <c r="E78" s="1386">
        <v>7.9280000000000003E-2</v>
      </c>
      <c r="F78" s="1374"/>
      <c r="G78" s="1384" t="s">
        <v>267</v>
      </c>
      <c r="H78" s="1385">
        <v>325999656.98000002</v>
      </c>
      <c r="I78" s="1386">
        <v>3.5049999999999998E-2</v>
      </c>
      <c r="J78" s="1387">
        <v>2520</v>
      </c>
      <c r="K78" s="1386">
        <v>2.7650000000000001E-2</v>
      </c>
      <c r="L78" s="1375"/>
      <c r="M78" s="1375"/>
      <c r="N78" s="1375"/>
      <c r="O78" s="1375"/>
      <c r="P78" s="1375"/>
      <c r="Q78" s="1375"/>
      <c r="R78" s="1375"/>
      <c r="S78" s="1375"/>
      <c r="T78" s="1375"/>
      <c r="U78" s="1375"/>
      <c r="V78" s="1375"/>
      <c r="W78" s="1375"/>
      <c r="X78" s="1375"/>
      <c r="Y78" s="1375"/>
      <c r="Z78" s="1375"/>
    </row>
    <row r="79" spans="1:36" s="1372" customFormat="1">
      <c r="A79" s="1384" t="s">
        <v>1023</v>
      </c>
      <c r="B79" s="1385">
        <v>942425528.95000005</v>
      </c>
      <c r="C79" s="1386">
        <v>0.10133</v>
      </c>
      <c r="D79" s="1387">
        <v>8038</v>
      </c>
      <c r="E79" s="1386">
        <v>8.8200000000000001E-2</v>
      </c>
      <c r="F79" s="1374"/>
      <c r="G79" s="1384" t="s">
        <v>268</v>
      </c>
      <c r="H79" s="1385">
        <v>396623687.77999997</v>
      </c>
      <c r="I79" s="1386">
        <v>4.2639999999999997E-2</v>
      </c>
      <c r="J79" s="1387">
        <v>2942</v>
      </c>
      <c r="K79" s="1386">
        <v>3.2280000000000003E-2</v>
      </c>
      <c r="L79" s="1375"/>
      <c r="M79" s="1375"/>
      <c r="N79" s="1375"/>
      <c r="O79" s="1375"/>
      <c r="P79" s="1375"/>
      <c r="Q79" s="1375"/>
      <c r="R79" s="1375"/>
      <c r="S79" s="1375"/>
      <c r="T79" s="1375"/>
      <c r="U79" s="1375"/>
      <c r="V79" s="1375"/>
      <c r="W79" s="1375"/>
      <c r="X79" s="1375"/>
      <c r="Y79" s="1375"/>
      <c r="Z79" s="1375"/>
    </row>
    <row r="80" spans="1:36" s="1372" customFormat="1">
      <c r="A80" s="1384" t="s">
        <v>1024</v>
      </c>
      <c r="B80" s="1385">
        <v>1854813957.45</v>
      </c>
      <c r="C80" s="1386">
        <v>0.19941999999999999</v>
      </c>
      <c r="D80" s="1387">
        <v>14618</v>
      </c>
      <c r="E80" s="1386">
        <v>0.16039999999999999</v>
      </c>
      <c r="F80" s="1374"/>
      <c r="G80" s="1384" t="s">
        <v>792</v>
      </c>
      <c r="H80" s="1385">
        <v>145811235.71000001</v>
      </c>
      <c r="I80" s="1386">
        <v>1.5679999999999999E-2</v>
      </c>
      <c r="J80" s="1387">
        <v>1199</v>
      </c>
      <c r="K80" s="1386">
        <v>1.316E-2</v>
      </c>
      <c r="L80" s="1375"/>
      <c r="M80" s="1375"/>
      <c r="N80" s="1375"/>
      <c r="O80" s="1375"/>
      <c r="P80" s="1375"/>
      <c r="Q80" s="1375"/>
      <c r="R80" s="1375"/>
      <c r="S80" s="1375"/>
      <c r="T80" s="1375"/>
      <c r="U80" s="1375"/>
      <c r="V80" s="1375"/>
      <c r="W80" s="1375"/>
      <c r="X80" s="1375"/>
      <c r="Y80" s="1375"/>
      <c r="Z80" s="1375"/>
    </row>
    <row r="81" spans="1:36" s="1372" customFormat="1">
      <c r="A81" s="1384" t="s">
        <v>1025</v>
      </c>
      <c r="B81" s="1385">
        <v>172081433.90000001</v>
      </c>
      <c r="C81" s="1386">
        <v>1.8499999999999999E-2</v>
      </c>
      <c r="D81" s="1387">
        <v>1457</v>
      </c>
      <c r="E81" s="1386">
        <v>1.5990000000000001E-2</v>
      </c>
      <c r="F81" s="1374"/>
      <c r="G81" s="1384" t="s">
        <v>793</v>
      </c>
      <c r="H81" s="1385">
        <v>156541940.83000001</v>
      </c>
      <c r="I81" s="1386">
        <v>1.6830000000000001E-2</v>
      </c>
      <c r="J81" s="1387">
        <v>1180</v>
      </c>
      <c r="K81" s="1386">
        <v>1.295E-2</v>
      </c>
      <c r="M81" s="1375"/>
      <c r="N81" s="1375"/>
      <c r="O81" s="1375"/>
      <c r="P81" s="1375"/>
      <c r="Q81" s="1375"/>
      <c r="R81" s="1375"/>
      <c r="S81" s="1375"/>
      <c r="T81" s="1375"/>
      <c r="U81" s="1375"/>
      <c r="V81" s="1375"/>
      <c r="W81" s="1375"/>
      <c r="X81" s="1375"/>
      <c r="Y81" s="1375"/>
      <c r="Z81" s="1375"/>
      <c r="AA81" s="1375"/>
      <c r="AB81" s="1375"/>
      <c r="AC81" s="1375"/>
      <c r="AD81" s="1375"/>
      <c r="AE81" s="1375"/>
      <c r="AF81" s="1375"/>
      <c r="AG81" s="1375"/>
      <c r="AH81" s="1375"/>
      <c r="AI81" s="1375"/>
      <c r="AJ81" s="1375"/>
    </row>
    <row r="82" spans="1:36" s="1372" customFormat="1">
      <c r="A82" s="1384" t="s">
        <v>1026</v>
      </c>
      <c r="B82" s="1385">
        <v>373374748.26999998</v>
      </c>
      <c r="C82" s="1386">
        <v>4.0140000000000002E-2</v>
      </c>
      <c r="D82" s="1387">
        <v>3003</v>
      </c>
      <c r="E82" s="1386">
        <v>3.295E-2</v>
      </c>
      <c r="F82" s="1374"/>
      <c r="G82" s="1384" t="s">
        <v>794</v>
      </c>
      <c r="H82" s="1385">
        <v>104566497.65000001</v>
      </c>
      <c r="I82" s="1386">
        <v>1.124E-2</v>
      </c>
      <c r="J82" s="1387">
        <v>889</v>
      </c>
      <c r="K82" s="1386">
        <v>9.75E-3</v>
      </c>
      <c r="M82" s="1375"/>
      <c r="N82" s="1375"/>
      <c r="O82" s="1375"/>
      <c r="P82" s="1375"/>
      <c r="Q82" s="1375"/>
      <c r="R82" s="1375"/>
      <c r="S82" s="1375"/>
      <c r="T82" s="1375"/>
      <c r="U82" s="1375"/>
      <c r="V82" s="1375"/>
      <c r="W82" s="1375"/>
      <c r="X82" s="1375"/>
      <c r="Y82" s="1375"/>
      <c r="Z82" s="1375"/>
      <c r="AA82" s="1375"/>
      <c r="AB82" s="1375"/>
      <c r="AC82" s="1375"/>
      <c r="AD82" s="1375"/>
      <c r="AE82" s="1375"/>
      <c r="AF82" s="1375"/>
      <c r="AG82" s="1375"/>
      <c r="AH82" s="1375"/>
      <c r="AI82" s="1375"/>
      <c r="AJ82" s="1375"/>
    </row>
    <row r="83" spans="1:36" s="1372" customFormat="1">
      <c r="A83" s="1384" t="s">
        <v>1027</v>
      </c>
      <c r="B83" s="1385">
        <v>36780336.119999997</v>
      </c>
      <c r="C83" s="1386">
        <v>3.9500000000000004E-3</v>
      </c>
      <c r="D83" s="1387">
        <v>286</v>
      </c>
      <c r="E83" s="1386">
        <v>3.14E-3</v>
      </c>
      <c r="F83" s="1374"/>
      <c r="G83" s="1384" t="s">
        <v>795</v>
      </c>
      <c r="H83" s="1385">
        <v>29520533.260000002</v>
      </c>
      <c r="I83" s="1386">
        <v>3.1700000000000001E-3</v>
      </c>
      <c r="J83" s="1387">
        <v>209</v>
      </c>
      <c r="K83" s="1386">
        <v>2.2899999999999999E-3</v>
      </c>
      <c r="M83" s="1375"/>
      <c r="N83" s="1375"/>
      <c r="O83" s="1375"/>
      <c r="P83" s="1375"/>
      <c r="Q83" s="1375"/>
      <c r="R83" s="1375"/>
      <c r="S83" s="1375"/>
      <c r="T83" s="1375"/>
      <c r="U83" s="1375"/>
      <c r="V83" s="1375"/>
      <c r="W83" s="1375"/>
      <c r="X83" s="1375"/>
      <c r="Y83" s="1375"/>
      <c r="Z83" s="1375"/>
      <c r="AA83" s="1375"/>
      <c r="AB83" s="1375"/>
      <c r="AC83" s="1375"/>
      <c r="AD83" s="1375"/>
      <c r="AE83" s="1375"/>
      <c r="AF83" s="1375"/>
      <c r="AG83" s="1375"/>
      <c r="AH83" s="1375"/>
      <c r="AI83" s="1375"/>
      <c r="AJ83" s="1375"/>
    </row>
    <row r="84" spans="1:36" s="1372" customFormat="1">
      <c r="A84" s="1384" t="s">
        <v>1028</v>
      </c>
      <c r="B84" s="1385">
        <v>56899801.310000002</v>
      </c>
      <c r="C84" s="1386">
        <v>6.1199999999999996E-3</v>
      </c>
      <c r="D84" s="1387">
        <v>442</v>
      </c>
      <c r="E84" s="1386">
        <v>4.8500000000000001E-3</v>
      </c>
      <c r="F84" s="1374"/>
      <c r="G84" s="1384" t="s">
        <v>796</v>
      </c>
      <c r="H84" s="1385">
        <v>33352967.120000001</v>
      </c>
      <c r="I84" s="1386">
        <v>3.5899999999999999E-3</v>
      </c>
      <c r="J84" s="1387">
        <v>227</v>
      </c>
      <c r="K84" s="1386">
        <v>2.49E-3</v>
      </c>
      <c r="M84" s="1375"/>
      <c r="N84" s="1375"/>
      <c r="O84" s="1375"/>
      <c r="P84" s="1375"/>
      <c r="Q84" s="1375"/>
      <c r="R84" s="1375"/>
      <c r="S84" s="1375"/>
      <c r="T84" s="1375"/>
      <c r="U84" s="1375"/>
      <c r="V84" s="1375"/>
      <c r="W84" s="1375"/>
      <c r="X84" s="1375"/>
      <c r="Y84" s="1375"/>
      <c r="Z84" s="1375"/>
      <c r="AA84" s="1375"/>
      <c r="AB84" s="1375"/>
      <c r="AC84" s="1375"/>
      <c r="AD84" s="1375"/>
      <c r="AE84" s="1375"/>
      <c r="AF84" s="1375"/>
      <c r="AG84" s="1375"/>
      <c r="AH84" s="1375"/>
      <c r="AI84" s="1375"/>
      <c r="AJ84" s="1375"/>
    </row>
    <row r="85" spans="1:36" s="1372" customFormat="1" ht="13.5" thickBot="1">
      <c r="A85" s="1384" t="s">
        <v>1029</v>
      </c>
      <c r="B85" s="1385">
        <v>170613762.86000001</v>
      </c>
      <c r="C85" s="1386">
        <v>1.8339999999999999E-2</v>
      </c>
      <c r="D85" s="1387">
        <v>1478</v>
      </c>
      <c r="E85" s="1386">
        <v>1.6219999999999998E-2</v>
      </c>
      <c r="F85" s="1374"/>
      <c r="G85" s="1388" t="s">
        <v>803</v>
      </c>
      <c r="H85" s="1389">
        <v>9300995038.3099995</v>
      </c>
      <c r="I85" s="1390">
        <v>1.0000100000000001</v>
      </c>
      <c r="J85" s="1391">
        <v>91137</v>
      </c>
      <c r="K85" s="1390">
        <v>0.99998999999999982</v>
      </c>
      <c r="M85" s="1375"/>
      <c r="N85" s="1375"/>
      <c r="O85" s="1375"/>
      <c r="P85" s="1375"/>
      <c r="Q85" s="1375"/>
      <c r="R85" s="1375"/>
      <c r="S85" s="1375"/>
      <c r="T85" s="1375"/>
      <c r="U85" s="1375"/>
      <c r="V85" s="1375"/>
      <c r="W85" s="1375"/>
      <c r="X85" s="1375"/>
      <c r="Y85" s="1375"/>
      <c r="Z85" s="1375"/>
      <c r="AA85" s="1375"/>
      <c r="AB85" s="1375"/>
      <c r="AC85" s="1375"/>
      <c r="AD85" s="1375"/>
      <c r="AE85" s="1375"/>
      <c r="AF85" s="1375"/>
      <c r="AG85" s="1375"/>
      <c r="AH85" s="1375"/>
      <c r="AI85" s="1375"/>
      <c r="AJ85" s="1375"/>
    </row>
    <row r="86" spans="1:36" s="1372" customFormat="1" ht="14.25" thickTop="1" thickBot="1">
      <c r="A86" s="1392" t="s">
        <v>803</v>
      </c>
      <c r="B86" s="1393">
        <v>9300995038.3100014</v>
      </c>
      <c r="C86" s="1390">
        <v>0.99999000000000005</v>
      </c>
      <c r="D86" s="1391">
        <v>91137</v>
      </c>
      <c r="E86" s="1390">
        <v>1</v>
      </c>
      <c r="F86" s="1373"/>
      <c r="G86" s="1392"/>
      <c r="H86" s="1394"/>
      <c r="I86" s="1395"/>
      <c r="J86" s="1396"/>
      <c r="K86" s="1395"/>
      <c r="M86" s="1375"/>
      <c r="N86" s="1375"/>
      <c r="O86" s="1375"/>
      <c r="P86" s="1375"/>
      <c r="Q86" s="1375"/>
      <c r="R86" s="1375"/>
      <c r="S86" s="1375"/>
      <c r="T86" s="1375"/>
      <c r="U86" s="1375"/>
      <c r="V86" s="1375"/>
      <c r="W86" s="1375"/>
      <c r="X86" s="1375"/>
      <c r="Y86" s="1375"/>
      <c r="Z86" s="1375"/>
      <c r="AA86" s="1375"/>
      <c r="AB86" s="1375"/>
      <c r="AC86" s="1375"/>
      <c r="AD86" s="1375"/>
      <c r="AE86" s="1375"/>
      <c r="AF86" s="1375"/>
      <c r="AG86" s="1375"/>
      <c r="AH86" s="1375"/>
      <c r="AI86" s="1375"/>
      <c r="AJ86" s="1375"/>
    </row>
    <row r="87" spans="1:36" s="1372" customFormat="1" ht="13.5" thickTop="1">
      <c r="A87" s="1369"/>
      <c r="B87" s="1370"/>
      <c r="C87" s="1371"/>
      <c r="D87" s="1370"/>
      <c r="E87" s="1397"/>
      <c r="F87" s="1373"/>
      <c r="M87" s="1375"/>
      <c r="N87" s="1375"/>
      <c r="O87" s="1375"/>
      <c r="P87" s="1375"/>
      <c r="Q87" s="1375"/>
      <c r="R87" s="1375"/>
      <c r="S87" s="1375"/>
      <c r="T87" s="1375"/>
      <c r="U87" s="1375"/>
      <c r="V87" s="1375"/>
      <c r="W87" s="1375"/>
      <c r="X87" s="1375"/>
      <c r="Y87" s="1375"/>
      <c r="Z87" s="1375"/>
      <c r="AA87" s="1375"/>
      <c r="AB87" s="1375"/>
      <c r="AC87" s="1375"/>
      <c r="AD87" s="1375"/>
      <c r="AE87" s="1375"/>
      <c r="AF87" s="1375"/>
      <c r="AG87" s="1375"/>
      <c r="AH87" s="1375"/>
      <c r="AI87" s="1375"/>
      <c r="AJ87" s="1375"/>
    </row>
    <row r="88" spans="1:36" s="1372" customFormat="1">
      <c r="A88" s="1369"/>
      <c r="B88" s="1370"/>
      <c r="C88" s="1371"/>
      <c r="D88" s="1370"/>
      <c r="E88" s="1397"/>
      <c r="F88" s="1373"/>
      <c r="M88" s="1375"/>
      <c r="N88" s="1375"/>
      <c r="O88" s="1375"/>
      <c r="P88" s="1375"/>
      <c r="Q88" s="1375"/>
      <c r="R88" s="1375"/>
      <c r="S88" s="1375"/>
      <c r="T88" s="1375"/>
      <c r="U88" s="1375"/>
      <c r="V88" s="1375"/>
      <c r="W88" s="1375"/>
      <c r="X88" s="1375"/>
      <c r="Y88" s="1375"/>
      <c r="Z88" s="1375"/>
      <c r="AA88" s="1375"/>
      <c r="AB88" s="1375"/>
      <c r="AC88" s="1375"/>
      <c r="AD88" s="1375"/>
      <c r="AE88" s="1375"/>
      <c r="AF88" s="1375"/>
      <c r="AG88" s="1375"/>
      <c r="AH88" s="1375"/>
      <c r="AI88" s="1375"/>
      <c r="AJ88" s="1375"/>
    </row>
    <row r="89" spans="1:36" s="1372" customFormat="1">
      <c r="A89" s="1369"/>
      <c r="B89" s="1370"/>
      <c r="C89" s="1371"/>
      <c r="D89" s="1370"/>
      <c r="E89" s="1397"/>
      <c r="F89" s="1374"/>
      <c r="M89" s="1375"/>
      <c r="N89" s="1375"/>
      <c r="O89" s="1375"/>
      <c r="P89" s="1375"/>
      <c r="Q89" s="1375"/>
      <c r="R89" s="1375"/>
      <c r="S89" s="1375"/>
      <c r="T89" s="1375"/>
      <c r="U89" s="1375"/>
      <c r="V89" s="1375"/>
      <c r="W89" s="1375"/>
      <c r="X89" s="1375"/>
      <c r="Y89" s="1375"/>
      <c r="Z89" s="1375"/>
      <c r="AA89" s="1375"/>
      <c r="AB89" s="1375"/>
      <c r="AC89" s="1375"/>
      <c r="AD89" s="1375"/>
      <c r="AE89" s="1375"/>
      <c r="AF89" s="1375"/>
      <c r="AG89" s="1375"/>
      <c r="AH89" s="1375"/>
      <c r="AI89" s="1375"/>
      <c r="AJ89" s="1375"/>
    </row>
    <row r="90" spans="1:36" s="1372" customFormat="1" ht="15.75">
      <c r="A90" s="1377" t="s">
        <v>1030</v>
      </c>
      <c r="B90" s="1394"/>
      <c r="C90" s="1398"/>
      <c r="D90" s="1394"/>
      <c r="E90" s="1398"/>
      <c r="F90" s="1374"/>
      <c r="G90" s="1377" t="s">
        <v>886</v>
      </c>
      <c r="H90" s="1399"/>
      <c r="I90" s="1395"/>
      <c r="J90" s="1400"/>
      <c r="K90" s="1395"/>
      <c r="M90" s="1375"/>
      <c r="N90" s="1375"/>
      <c r="O90" s="1375"/>
      <c r="P90" s="1375"/>
      <c r="Q90" s="1375"/>
      <c r="R90" s="1375"/>
      <c r="S90" s="1375"/>
      <c r="T90" s="1375"/>
      <c r="U90" s="1375"/>
      <c r="V90" s="1375"/>
      <c r="W90" s="1375"/>
      <c r="X90" s="1375"/>
      <c r="Y90" s="1375"/>
      <c r="Z90" s="1375"/>
      <c r="AA90" s="1375"/>
      <c r="AB90" s="1375"/>
      <c r="AC90" s="1375"/>
      <c r="AD90" s="1375"/>
      <c r="AE90" s="1375"/>
      <c r="AF90" s="1375"/>
      <c r="AG90" s="1375"/>
      <c r="AH90" s="1375"/>
      <c r="AI90" s="1375"/>
      <c r="AJ90" s="1375"/>
    </row>
    <row r="91" spans="1:36" s="1372" customFormat="1">
      <c r="A91" s="1380" t="s">
        <v>937</v>
      </c>
      <c r="B91" s="1380" t="s">
        <v>943</v>
      </c>
      <c r="C91" s="1381" t="s">
        <v>1010</v>
      </c>
      <c r="D91" s="1380" t="s">
        <v>1011</v>
      </c>
      <c r="E91" s="1381" t="s">
        <v>1010</v>
      </c>
      <c r="F91" s="1374"/>
      <c r="G91" s="1401" t="s">
        <v>889</v>
      </c>
      <c r="H91" s="1380" t="s">
        <v>890</v>
      </c>
      <c r="I91" s="1381" t="s">
        <v>891</v>
      </c>
      <c r="J91" s="1380" t="s">
        <v>892</v>
      </c>
      <c r="K91" s="1381" t="s">
        <v>1010</v>
      </c>
      <c r="M91" s="1375"/>
      <c r="N91" s="1375"/>
      <c r="O91" s="1375"/>
      <c r="P91" s="1375"/>
      <c r="Q91" s="1375"/>
      <c r="R91" s="1375"/>
      <c r="S91" s="1375"/>
      <c r="T91" s="1375"/>
      <c r="U91" s="1375"/>
      <c r="V91" s="1375"/>
      <c r="W91" s="1375"/>
      <c r="X91" s="1375"/>
      <c r="Y91" s="1375"/>
      <c r="Z91" s="1375"/>
      <c r="AA91" s="1375"/>
      <c r="AB91" s="1375"/>
      <c r="AC91" s="1375"/>
      <c r="AD91" s="1375"/>
      <c r="AE91" s="1375"/>
      <c r="AF91" s="1375"/>
      <c r="AG91" s="1375"/>
      <c r="AH91" s="1375"/>
      <c r="AI91" s="1375"/>
      <c r="AJ91" s="1375"/>
    </row>
    <row r="92" spans="1:36" s="1372" customFormat="1">
      <c r="A92" s="1370" t="s">
        <v>1021</v>
      </c>
      <c r="B92" s="1370">
        <v>112749990.43000001</v>
      </c>
      <c r="C92" s="1402">
        <v>1.2120000000000001E-2</v>
      </c>
      <c r="D92" s="1387">
        <v>835</v>
      </c>
      <c r="E92" s="1402">
        <v>9.1599999999999997E-3</v>
      </c>
      <c r="F92" s="1374"/>
      <c r="G92" s="1384" t="s">
        <v>887</v>
      </c>
      <c r="H92" s="1403">
        <v>3277810980.29</v>
      </c>
      <c r="I92" s="1386">
        <v>0.35242000000000001</v>
      </c>
      <c r="J92" s="1474">
        <v>36508</v>
      </c>
      <c r="K92" s="1386">
        <v>0.40057999999999999</v>
      </c>
      <c r="M92" s="1375"/>
      <c r="N92" s="1375"/>
      <c r="O92" s="1375"/>
      <c r="P92" s="1375"/>
      <c r="Q92" s="1375"/>
      <c r="R92" s="1375"/>
      <c r="S92" s="1375"/>
      <c r="T92" s="1375"/>
      <c r="U92" s="1375"/>
      <c r="V92" s="1375"/>
      <c r="W92" s="1375"/>
      <c r="X92" s="1375"/>
      <c r="Y92" s="1375"/>
      <c r="Z92" s="1375"/>
      <c r="AA92" s="1375"/>
      <c r="AB92" s="1375"/>
      <c r="AC92" s="1375"/>
      <c r="AD92" s="1375"/>
      <c r="AE92" s="1375"/>
      <c r="AF92" s="1375"/>
      <c r="AG92" s="1375"/>
      <c r="AH92" s="1375"/>
      <c r="AI92" s="1375"/>
      <c r="AJ92" s="1375"/>
    </row>
    <row r="93" spans="1:36" s="1372" customFormat="1">
      <c r="A93" s="1370" t="s">
        <v>1022</v>
      </c>
      <c r="B93" s="1370">
        <v>286151845.25</v>
      </c>
      <c r="C93" s="1402">
        <v>3.0769999999999999E-2</v>
      </c>
      <c r="D93" s="1387">
        <v>2126</v>
      </c>
      <c r="E93" s="1402">
        <v>2.333E-2</v>
      </c>
      <c r="F93" s="1374"/>
      <c r="G93" s="1384" t="s">
        <v>888</v>
      </c>
      <c r="H93" s="1403">
        <v>6023184058.0200005</v>
      </c>
      <c r="I93" s="1386">
        <v>0.64758000000000004</v>
      </c>
      <c r="J93" s="1474">
        <v>54629</v>
      </c>
      <c r="K93" s="1386">
        <v>0.59941999999999995</v>
      </c>
      <c r="M93" s="1375"/>
      <c r="N93" s="1375"/>
      <c r="O93" s="1375"/>
      <c r="P93" s="1375"/>
      <c r="Q93" s="1375"/>
      <c r="R93" s="1375"/>
      <c r="S93" s="1375"/>
      <c r="T93" s="1375"/>
      <c r="U93" s="1375"/>
      <c r="V93" s="1375"/>
      <c r="W93" s="1375"/>
      <c r="X93" s="1375"/>
      <c r="Y93" s="1375"/>
      <c r="Z93" s="1375"/>
      <c r="AA93" s="1375"/>
      <c r="AB93" s="1375"/>
      <c r="AC93" s="1375"/>
      <c r="AD93" s="1375"/>
      <c r="AE93" s="1375"/>
      <c r="AF93" s="1375"/>
      <c r="AG93" s="1375"/>
      <c r="AH93" s="1375"/>
      <c r="AI93" s="1375"/>
      <c r="AJ93" s="1375"/>
    </row>
    <row r="94" spans="1:36" s="1372" customFormat="1" ht="13.5" thickBot="1">
      <c r="A94" s="1370" t="s">
        <v>1023</v>
      </c>
      <c r="B94" s="1370">
        <v>164269679.41</v>
      </c>
      <c r="C94" s="1402">
        <v>1.7659999999999999E-2</v>
      </c>
      <c r="D94" s="1387">
        <v>1231</v>
      </c>
      <c r="E94" s="1402">
        <v>1.3509999999999999E-2</v>
      </c>
      <c r="F94" s="1374"/>
      <c r="G94" s="1404" t="s">
        <v>803</v>
      </c>
      <c r="H94" s="1389">
        <v>9300995038.3100014</v>
      </c>
      <c r="I94" s="1390">
        <v>1</v>
      </c>
      <c r="J94" s="1473">
        <v>91137</v>
      </c>
      <c r="K94" s="1390">
        <v>1</v>
      </c>
      <c r="M94" s="1375"/>
      <c r="N94" s="1375"/>
      <c r="O94" s="1375"/>
      <c r="P94" s="1375"/>
      <c r="Q94" s="1375"/>
      <c r="R94" s="1375"/>
      <c r="S94" s="1375"/>
      <c r="T94" s="1375"/>
      <c r="U94" s="1375"/>
      <c r="V94" s="1375"/>
      <c r="W94" s="1375"/>
      <c r="X94" s="1375"/>
      <c r="Y94" s="1375"/>
      <c r="Z94" s="1375"/>
      <c r="AA94" s="1375"/>
      <c r="AB94" s="1375"/>
      <c r="AC94" s="1375"/>
      <c r="AD94" s="1375"/>
      <c r="AE94" s="1375"/>
      <c r="AF94" s="1375"/>
      <c r="AG94" s="1375"/>
      <c r="AH94" s="1375"/>
      <c r="AI94" s="1375"/>
      <c r="AJ94" s="1375"/>
    </row>
    <row r="95" spans="1:36" s="1372" customFormat="1" ht="13.5" thickTop="1">
      <c r="A95" s="1370" t="s">
        <v>1024</v>
      </c>
      <c r="B95" s="1370">
        <v>54346386.880000003</v>
      </c>
      <c r="C95" s="1402">
        <v>5.8399999999999997E-3</v>
      </c>
      <c r="D95" s="1387">
        <v>414</v>
      </c>
      <c r="E95" s="1402">
        <v>4.5399999999999998E-3</v>
      </c>
      <c r="F95" s="1374"/>
      <c r="G95" s="1404"/>
      <c r="H95" s="1394"/>
      <c r="I95" s="1395"/>
      <c r="J95" s="1396"/>
      <c r="K95" s="1395"/>
      <c r="M95" s="1375"/>
      <c r="N95" s="1375"/>
      <c r="O95" s="1375"/>
      <c r="P95" s="1375"/>
      <c r="Q95" s="1375"/>
      <c r="R95" s="1375"/>
      <c r="S95" s="1375"/>
      <c r="T95" s="1375"/>
      <c r="U95" s="1375"/>
      <c r="V95" s="1375"/>
      <c r="W95" s="1375"/>
      <c r="X95" s="1375"/>
      <c r="Y95" s="1375"/>
      <c r="Z95" s="1375"/>
      <c r="AA95" s="1375"/>
      <c r="AB95" s="1375"/>
      <c r="AC95" s="1375"/>
      <c r="AD95" s="1375"/>
      <c r="AE95" s="1375"/>
      <c r="AF95" s="1375"/>
      <c r="AG95" s="1375"/>
      <c r="AH95" s="1375"/>
      <c r="AI95" s="1375"/>
      <c r="AJ95" s="1375"/>
    </row>
    <row r="96" spans="1:36" s="1372" customFormat="1">
      <c r="A96" s="1370" t="s">
        <v>1025</v>
      </c>
      <c r="B96" s="1370">
        <v>56482507.380000003</v>
      </c>
      <c r="C96" s="1402">
        <v>6.0699999999999999E-3</v>
      </c>
      <c r="D96" s="1387">
        <v>475</v>
      </c>
      <c r="E96" s="1402">
        <v>5.2100000000000002E-3</v>
      </c>
      <c r="F96" s="1374"/>
      <c r="G96" s="1404"/>
      <c r="H96" s="1394"/>
      <c r="I96" s="1395"/>
      <c r="J96" s="1396"/>
      <c r="K96" s="1395"/>
      <c r="M96" s="1375"/>
      <c r="N96" s="1375"/>
      <c r="O96" s="1375"/>
      <c r="P96" s="1375"/>
      <c r="Q96" s="1375"/>
      <c r="R96" s="1375"/>
      <c r="S96" s="1375"/>
      <c r="T96" s="1375"/>
      <c r="U96" s="1375"/>
      <c r="V96" s="1375"/>
      <c r="W96" s="1375"/>
      <c r="X96" s="1375"/>
      <c r="Y96" s="1375"/>
      <c r="Z96" s="1375"/>
      <c r="AA96" s="1375"/>
      <c r="AB96" s="1375"/>
      <c r="AC96" s="1375"/>
      <c r="AD96" s="1375"/>
      <c r="AE96" s="1375"/>
      <c r="AF96" s="1375"/>
      <c r="AG96" s="1375"/>
      <c r="AH96" s="1375"/>
      <c r="AI96" s="1375"/>
      <c r="AJ96" s="1375"/>
    </row>
    <row r="97" spans="1:36" s="1372" customFormat="1">
      <c r="A97" s="1370" t="s">
        <v>1026</v>
      </c>
      <c r="B97" s="1370">
        <v>56321526.520000003</v>
      </c>
      <c r="C97" s="1402">
        <v>6.0600000000000003E-3</v>
      </c>
      <c r="D97" s="1387">
        <v>409</v>
      </c>
      <c r="E97" s="1402">
        <v>4.4900000000000001E-3</v>
      </c>
      <c r="F97" s="1374"/>
      <c r="G97" s="1404"/>
      <c r="H97" s="1394"/>
      <c r="I97" s="1395"/>
      <c r="J97" s="1396"/>
      <c r="K97" s="1395"/>
      <c r="M97" s="1375"/>
      <c r="N97" s="1375"/>
      <c r="O97" s="1375"/>
      <c r="P97" s="1375"/>
      <c r="Q97" s="1375"/>
      <c r="R97" s="1375"/>
      <c r="S97" s="1375"/>
      <c r="T97" s="1375"/>
      <c r="U97" s="1375"/>
      <c r="V97" s="1375"/>
      <c r="W97" s="1375"/>
      <c r="X97" s="1375"/>
      <c r="Y97" s="1375"/>
      <c r="Z97" s="1375"/>
      <c r="AA97" s="1375"/>
      <c r="AB97" s="1375"/>
      <c r="AC97" s="1375"/>
      <c r="AD97" s="1375"/>
      <c r="AE97" s="1375"/>
      <c r="AF97" s="1375"/>
      <c r="AG97" s="1375"/>
      <c r="AH97" s="1375"/>
      <c r="AI97" s="1375"/>
      <c r="AJ97" s="1375"/>
    </row>
    <row r="98" spans="1:36" s="1372" customFormat="1">
      <c r="A98" s="1370" t="s">
        <v>1027</v>
      </c>
      <c r="B98" s="1370">
        <v>42833805.109999999</v>
      </c>
      <c r="C98" s="1402">
        <v>4.6100000000000004E-3</v>
      </c>
      <c r="D98" s="1387">
        <v>322</v>
      </c>
      <c r="E98" s="1402">
        <v>3.5300000000000002E-3</v>
      </c>
      <c r="F98" s="1374"/>
      <c r="H98" s="1394"/>
      <c r="I98" s="1395"/>
      <c r="J98" s="1396"/>
      <c r="K98" s="1395"/>
      <c r="M98" s="1375"/>
      <c r="N98" s="1375"/>
      <c r="O98" s="1375"/>
      <c r="P98" s="1375"/>
      <c r="Q98" s="1375"/>
      <c r="R98" s="1375"/>
      <c r="S98" s="1375"/>
      <c r="T98" s="1375"/>
      <c r="U98" s="1375"/>
      <c r="V98" s="1375"/>
      <c r="W98" s="1375"/>
      <c r="X98" s="1375"/>
      <c r="Y98" s="1375"/>
      <c r="Z98" s="1375"/>
      <c r="AA98" s="1375"/>
      <c r="AB98" s="1375"/>
      <c r="AC98" s="1375"/>
      <c r="AD98" s="1375"/>
      <c r="AE98" s="1375"/>
      <c r="AF98" s="1375"/>
      <c r="AG98" s="1375"/>
      <c r="AH98" s="1375"/>
      <c r="AI98" s="1375"/>
      <c r="AJ98" s="1375"/>
    </row>
    <row r="99" spans="1:36" s="1372" customFormat="1">
      <c r="A99" s="1370" t="s">
        <v>1028</v>
      </c>
      <c r="B99" s="1370">
        <v>56480302.43</v>
      </c>
      <c r="C99" s="1402">
        <v>6.0699999999999999E-3</v>
      </c>
      <c r="D99" s="1387">
        <v>428</v>
      </c>
      <c r="E99" s="1402">
        <v>4.7000000000000002E-3</v>
      </c>
      <c r="F99" s="1374"/>
      <c r="M99" s="1375"/>
      <c r="N99" s="1375"/>
      <c r="O99" s="1375"/>
      <c r="P99" s="1375"/>
      <c r="Q99" s="1375"/>
      <c r="R99" s="1375"/>
      <c r="S99" s="1375"/>
      <c r="T99" s="1375"/>
      <c r="U99" s="1375"/>
      <c r="V99" s="1375"/>
      <c r="W99" s="1375"/>
      <c r="X99" s="1375"/>
      <c r="Y99" s="1375"/>
      <c r="Z99" s="1375"/>
      <c r="AA99" s="1375"/>
      <c r="AB99" s="1375"/>
      <c r="AC99" s="1375"/>
      <c r="AD99" s="1375"/>
      <c r="AE99" s="1375"/>
      <c r="AF99" s="1375"/>
      <c r="AG99" s="1375"/>
      <c r="AH99" s="1375"/>
      <c r="AI99" s="1375"/>
      <c r="AJ99" s="1375"/>
    </row>
    <row r="100" spans="1:36" s="1372" customFormat="1" ht="15.75">
      <c r="A100" s="1370" t="s">
        <v>1029</v>
      </c>
      <c r="B100" s="1370">
        <v>66240458.579999998</v>
      </c>
      <c r="C100" s="1402">
        <v>7.1199999999999996E-3</v>
      </c>
      <c r="D100" s="1387">
        <v>500</v>
      </c>
      <c r="E100" s="1402">
        <v>5.4900000000000001E-3</v>
      </c>
      <c r="F100" s="1374"/>
      <c r="G100" s="1377" t="s">
        <v>420</v>
      </c>
      <c r="M100" s="1375"/>
      <c r="N100" s="1375"/>
      <c r="O100" s="1375"/>
      <c r="P100" s="1375"/>
      <c r="Q100" s="1375"/>
      <c r="R100" s="1375"/>
      <c r="S100" s="1375"/>
      <c r="T100" s="1375"/>
      <c r="U100" s="1375"/>
      <c r="V100" s="1375"/>
      <c r="W100" s="1375"/>
      <c r="X100" s="1375"/>
      <c r="Y100" s="1375"/>
      <c r="Z100" s="1375"/>
      <c r="AA100" s="1375"/>
      <c r="AB100" s="1375"/>
      <c r="AC100" s="1375"/>
      <c r="AD100" s="1375"/>
      <c r="AE100" s="1375"/>
      <c r="AF100" s="1375"/>
      <c r="AG100" s="1375"/>
      <c r="AH100" s="1375"/>
      <c r="AI100" s="1375"/>
      <c r="AJ100" s="1375"/>
    </row>
    <row r="101" spans="1:36" s="1372" customFormat="1">
      <c r="A101" s="1370" t="s">
        <v>710</v>
      </c>
      <c r="B101" s="1370">
        <v>46218445.469999999</v>
      </c>
      <c r="C101" s="1402">
        <v>4.9699999999999996E-3</v>
      </c>
      <c r="D101" s="1387">
        <v>375</v>
      </c>
      <c r="E101" s="1402">
        <v>4.1099999999999999E-3</v>
      </c>
      <c r="F101" s="1374"/>
      <c r="G101" s="1405" t="s">
        <v>420</v>
      </c>
      <c r="H101" s="1380" t="s">
        <v>890</v>
      </c>
      <c r="I101" s="1381" t="s">
        <v>891</v>
      </c>
      <c r="J101" s="1380" t="s">
        <v>892</v>
      </c>
      <c r="K101" s="1381" t="s">
        <v>1010</v>
      </c>
      <c r="M101" s="1375"/>
      <c r="N101" s="1375"/>
      <c r="O101" s="1375"/>
      <c r="P101" s="1375"/>
      <c r="Q101" s="1375"/>
      <c r="R101" s="1375"/>
      <c r="S101" s="1375"/>
      <c r="T101" s="1375"/>
      <c r="U101" s="1375"/>
      <c r="V101" s="1375"/>
      <c r="W101" s="1375"/>
      <c r="X101" s="1375"/>
      <c r="Y101" s="1375"/>
      <c r="Z101" s="1375"/>
      <c r="AA101" s="1375"/>
      <c r="AB101" s="1375"/>
      <c r="AC101" s="1375"/>
      <c r="AD101" s="1375"/>
      <c r="AE101" s="1375"/>
      <c r="AF101" s="1375"/>
      <c r="AG101" s="1375"/>
      <c r="AH101" s="1375"/>
      <c r="AI101" s="1375"/>
      <c r="AJ101" s="1375"/>
    </row>
    <row r="102" spans="1:36" s="1372" customFormat="1">
      <c r="A102" s="1370" t="s">
        <v>954</v>
      </c>
      <c r="B102" s="1370">
        <v>33197132.43</v>
      </c>
      <c r="C102" s="1402">
        <v>3.5699999999999998E-3</v>
      </c>
      <c r="D102" s="1387">
        <v>291</v>
      </c>
      <c r="E102" s="1402">
        <v>3.1900000000000001E-3</v>
      </c>
      <c r="F102" s="1374"/>
      <c r="G102" s="1406" t="s">
        <v>467</v>
      </c>
      <c r="H102" s="1394">
        <v>9300995038.3099995</v>
      </c>
      <c r="I102" s="1386">
        <v>1</v>
      </c>
      <c r="J102" s="1396">
        <v>91137</v>
      </c>
      <c r="K102" s="1386">
        <v>1</v>
      </c>
      <c r="M102" s="1375"/>
      <c r="N102" s="1375"/>
      <c r="O102" s="1375"/>
      <c r="P102" s="1375"/>
      <c r="Q102" s="1375"/>
      <c r="R102" s="1375"/>
      <c r="S102" s="1375"/>
      <c r="T102" s="1375"/>
      <c r="U102" s="1375"/>
      <c r="V102" s="1375"/>
      <c r="W102" s="1375"/>
      <c r="X102" s="1375"/>
      <c r="Y102" s="1375"/>
      <c r="Z102" s="1375"/>
      <c r="AA102" s="1375"/>
      <c r="AB102" s="1375"/>
      <c r="AC102" s="1375"/>
      <c r="AD102" s="1375"/>
      <c r="AE102" s="1375"/>
      <c r="AF102" s="1375"/>
      <c r="AG102" s="1375"/>
      <c r="AH102" s="1375"/>
      <c r="AI102" s="1375"/>
      <c r="AJ102" s="1375"/>
    </row>
    <row r="103" spans="1:36" s="1372" customFormat="1" ht="13.5" thickBot="1">
      <c r="A103" s="1370" t="s">
        <v>955</v>
      </c>
      <c r="B103" s="1370">
        <v>8325702958.4200001</v>
      </c>
      <c r="C103" s="1402">
        <v>0.89514000000000005</v>
      </c>
      <c r="D103" s="1387">
        <v>83731</v>
      </c>
      <c r="E103" s="1402">
        <v>0.91874</v>
      </c>
      <c r="F103" s="1374"/>
      <c r="G103" s="1404" t="s">
        <v>803</v>
      </c>
      <c r="H103" s="1389">
        <v>9300995038.3099995</v>
      </c>
      <c r="I103" s="1390">
        <v>1</v>
      </c>
      <c r="J103" s="1473">
        <v>91137</v>
      </c>
      <c r="K103" s="1390">
        <v>1</v>
      </c>
      <c r="M103" s="1375"/>
      <c r="N103" s="1375"/>
      <c r="O103" s="1375"/>
      <c r="P103" s="1375"/>
      <c r="Q103" s="1375"/>
      <c r="R103" s="1375"/>
      <c r="S103" s="1375"/>
      <c r="T103" s="1375"/>
      <c r="U103" s="1375"/>
      <c r="V103" s="1375"/>
      <c r="W103" s="1375"/>
      <c r="X103" s="1375"/>
      <c r="Y103" s="1375"/>
      <c r="Z103" s="1375"/>
      <c r="AA103" s="1375"/>
      <c r="AB103" s="1375"/>
      <c r="AC103" s="1375"/>
      <c r="AD103" s="1375"/>
      <c r="AE103" s="1375"/>
      <c r="AF103" s="1375"/>
      <c r="AG103" s="1375"/>
      <c r="AH103" s="1375"/>
      <c r="AI103" s="1375"/>
      <c r="AJ103" s="1375"/>
    </row>
    <row r="104" spans="1:36" s="1372" customFormat="1" ht="14.25" thickTop="1" thickBot="1">
      <c r="A104" s="1392" t="s">
        <v>803</v>
      </c>
      <c r="B104" s="1393">
        <v>9300995038.3099995</v>
      </c>
      <c r="C104" s="1390">
        <v>1</v>
      </c>
      <c r="D104" s="1391">
        <v>91137</v>
      </c>
      <c r="E104" s="1390">
        <v>1</v>
      </c>
      <c r="F104" s="1374"/>
      <c r="M104" s="1375"/>
      <c r="N104" s="1375"/>
      <c r="O104" s="1375"/>
      <c r="P104" s="1375"/>
      <c r="Q104" s="1375"/>
      <c r="R104" s="1375"/>
      <c r="S104" s="1375"/>
      <c r="T104" s="1375"/>
      <c r="U104" s="1375"/>
      <c r="V104" s="1375"/>
      <c r="W104" s="1375"/>
      <c r="X104" s="1375"/>
      <c r="Y104" s="1375"/>
      <c r="Z104" s="1375"/>
      <c r="AA104" s="1375"/>
      <c r="AB104" s="1375"/>
      <c r="AC104" s="1375"/>
      <c r="AD104" s="1375"/>
      <c r="AE104" s="1375"/>
      <c r="AF104" s="1375"/>
      <c r="AG104" s="1375"/>
      <c r="AH104" s="1375"/>
      <c r="AI104" s="1375"/>
      <c r="AJ104" s="1375"/>
    </row>
    <row r="105" spans="1:36" s="1372" customFormat="1" ht="13.5" thickTop="1">
      <c r="F105" s="1374"/>
      <c r="M105" s="1375"/>
      <c r="N105" s="1375"/>
      <c r="O105" s="1375"/>
      <c r="P105" s="1375"/>
      <c r="Q105" s="1375"/>
      <c r="R105" s="1375"/>
      <c r="S105" s="1375"/>
      <c r="T105" s="1375"/>
      <c r="U105" s="1375"/>
      <c r="V105" s="1375"/>
      <c r="W105" s="1375"/>
      <c r="X105" s="1375"/>
      <c r="Y105" s="1375"/>
      <c r="Z105" s="1375"/>
      <c r="AA105" s="1375"/>
      <c r="AB105" s="1375"/>
      <c r="AC105" s="1375"/>
      <c r="AD105" s="1375"/>
      <c r="AE105" s="1375"/>
      <c r="AF105" s="1375"/>
      <c r="AG105" s="1375"/>
      <c r="AH105" s="1375"/>
      <c r="AI105" s="1375"/>
      <c r="AJ105" s="1375"/>
    </row>
    <row r="106" spans="1:36" s="1372" customFormat="1">
      <c r="A106" s="1384"/>
      <c r="F106" s="1374"/>
      <c r="M106" s="1375"/>
      <c r="N106" s="1375"/>
      <c r="O106" s="1375"/>
      <c r="P106" s="1375"/>
      <c r="Q106" s="1375"/>
      <c r="R106" s="1375"/>
      <c r="S106" s="1375"/>
      <c r="T106" s="1375"/>
      <c r="U106" s="1375"/>
      <c r="V106" s="1375"/>
      <c r="W106" s="1375"/>
      <c r="X106" s="1375"/>
      <c r="Y106" s="1375"/>
      <c r="Z106" s="1375"/>
      <c r="AA106" s="1375"/>
      <c r="AB106" s="1375"/>
      <c r="AC106" s="1375"/>
      <c r="AD106" s="1375"/>
      <c r="AE106" s="1375"/>
      <c r="AF106" s="1375"/>
      <c r="AG106" s="1375"/>
      <c r="AH106" s="1375"/>
      <c r="AI106" s="1375"/>
      <c r="AJ106" s="1375"/>
    </row>
    <row r="107" spans="1:36" s="1372" customFormat="1">
      <c r="A107" s="1384"/>
      <c r="B107" s="1394"/>
      <c r="C107" s="1395"/>
      <c r="D107" s="1396"/>
      <c r="E107" s="1395"/>
      <c r="F107" s="1374"/>
      <c r="M107" s="1375"/>
      <c r="N107" s="1375"/>
      <c r="O107" s="1375"/>
      <c r="P107" s="1375"/>
      <c r="Q107" s="1375"/>
      <c r="R107" s="1375"/>
      <c r="S107" s="1375"/>
      <c r="T107" s="1375"/>
      <c r="U107" s="1375"/>
      <c r="V107" s="1375"/>
      <c r="W107" s="1375"/>
      <c r="X107" s="1375"/>
      <c r="Y107" s="1375"/>
      <c r="Z107" s="1375"/>
      <c r="AA107" s="1375"/>
      <c r="AB107" s="1375"/>
      <c r="AC107" s="1375"/>
      <c r="AD107" s="1375"/>
      <c r="AE107" s="1375"/>
      <c r="AF107" s="1375"/>
      <c r="AG107" s="1375"/>
      <c r="AH107" s="1375"/>
      <c r="AI107" s="1375"/>
      <c r="AJ107" s="1375"/>
    </row>
    <row r="108" spans="1:36" s="1372" customFormat="1">
      <c r="A108" s="1369"/>
      <c r="B108" s="1407"/>
      <c r="C108" s="1395"/>
      <c r="D108" s="1394"/>
      <c r="E108" s="1395"/>
      <c r="F108" s="1374"/>
      <c r="M108" s="1375"/>
      <c r="N108" s="1375"/>
      <c r="O108" s="1375"/>
      <c r="P108" s="1375"/>
      <c r="Q108" s="1375"/>
      <c r="R108" s="1375"/>
      <c r="S108" s="1375"/>
      <c r="T108" s="1375"/>
      <c r="U108" s="1375"/>
      <c r="V108" s="1375"/>
      <c r="W108" s="1375"/>
      <c r="X108" s="1375"/>
      <c r="Y108" s="1375"/>
      <c r="Z108" s="1375"/>
      <c r="AA108" s="1375"/>
      <c r="AB108" s="1375"/>
      <c r="AC108" s="1375"/>
      <c r="AD108" s="1375"/>
      <c r="AE108" s="1375"/>
      <c r="AF108" s="1375"/>
      <c r="AG108" s="1375"/>
      <c r="AH108" s="1375"/>
      <c r="AI108" s="1375"/>
      <c r="AJ108" s="1375"/>
    </row>
    <row r="109" spans="1:36" s="1372" customFormat="1" ht="12.75" customHeight="1">
      <c r="A109" s="1408" t="s">
        <v>797</v>
      </c>
      <c r="B109" s="1407"/>
      <c r="C109" s="1395"/>
      <c r="D109" s="1394"/>
      <c r="E109" s="1395"/>
      <c r="F109" s="1374"/>
      <c r="G109" s="1377" t="s">
        <v>701</v>
      </c>
      <c r="H109" s="1370"/>
      <c r="I109" s="1371"/>
      <c r="J109" s="1370"/>
      <c r="K109" s="1397"/>
      <c r="M109" s="1375"/>
      <c r="N109" s="1375"/>
      <c r="O109" s="1375"/>
      <c r="P109" s="1375"/>
      <c r="Q109" s="1375"/>
      <c r="R109" s="1375"/>
      <c r="S109" s="1375"/>
      <c r="T109" s="1375"/>
      <c r="U109" s="1375"/>
      <c r="V109" s="1375"/>
      <c r="W109" s="1375"/>
      <c r="X109" s="1375"/>
      <c r="Y109" s="1375"/>
      <c r="Z109" s="1375"/>
      <c r="AA109" s="1375"/>
      <c r="AB109" s="1375"/>
      <c r="AC109" s="1375"/>
      <c r="AD109" s="1375"/>
      <c r="AE109" s="1375"/>
      <c r="AF109" s="1375"/>
      <c r="AG109" s="1375"/>
      <c r="AH109" s="1375"/>
      <c r="AI109" s="1375"/>
      <c r="AJ109" s="1375"/>
    </row>
    <row r="110" spans="1:36" s="1411" customFormat="1" ht="25.5">
      <c r="A110" s="1379" t="s">
        <v>798</v>
      </c>
      <c r="B110" s="1380" t="s">
        <v>944</v>
      </c>
      <c r="C110" s="1381" t="s">
        <v>1010</v>
      </c>
      <c r="D110" s="1380" t="s">
        <v>892</v>
      </c>
      <c r="E110" s="1381" t="s">
        <v>1010</v>
      </c>
      <c r="F110" s="1409"/>
      <c r="G110" s="1410"/>
      <c r="H110" s="1380" t="s">
        <v>943</v>
      </c>
      <c r="I110" s="1381" t="s">
        <v>1010</v>
      </c>
      <c r="J110" s="1380" t="s">
        <v>1011</v>
      </c>
      <c r="K110" s="1381" t="s">
        <v>1010</v>
      </c>
      <c r="M110" s="1412"/>
      <c r="N110" s="1412"/>
      <c r="O110" s="1412"/>
      <c r="P110" s="1412"/>
      <c r="Q110" s="1412"/>
      <c r="R110" s="1412"/>
      <c r="S110" s="1412"/>
      <c r="T110" s="1412"/>
      <c r="U110" s="1412"/>
      <c r="V110" s="1412"/>
      <c r="W110" s="1412"/>
      <c r="X110" s="1412"/>
      <c r="Y110" s="1412"/>
      <c r="Z110" s="1412"/>
      <c r="AA110" s="1412"/>
      <c r="AB110" s="1412"/>
      <c r="AC110" s="1412"/>
      <c r="AD110" s="1412"/>
      <c r="AE110" s="1412"/>
      <c r="AF110" s="1412"/>
      <c r="AG110" s="1412"/>
      <c r="AH110" s="1412"/>
      <c r="AI110" s="1412"/>
      <c r="AJ110" s="1412"/>
    </row>
    <row r="111" spans="1:36" s="1372" customFormat="1" ht="12.75" customHeight="1">
      <c r="A111" s="1370" t="s">
        <v>63</v>
      </c>
      <c r="B111" s="1370">
        <v>664700739.45000005</v>
      </c>
      <c r="C111" s="1402">
        <v>7.1470000000000006E-2</v>
      </c>
      <c r="D111" s="1387">
        <v>6775</v>
      </c>
      <c r="E111" s="1402">
        <v>7.4340000000000003E-2</v>
      </c>
      <c r="G111" s="1413" t="s">
        <v>874</v>
      </c>
      <c r="H111" s="1414">
        <v>440422370</v>
      </c>
      <c r="I111" s="1415">
        <v>4.7350000000000003E-2</v>
      </c>
      <c r="J111" s="1416">
        <v>4985</v>
      </c>
      <c r="K111" s="1415">
        <v>5.4699999999999999E-2</v>
      </c>
      <c r="M111" s="1375"/>
      <c r="N111" s="1375"/>
      <c r="O111" s="1375"/>
      <c r="P111" s="1375"/>
      <c r="Q111" s="1375"/>
      <c r="R111" s="1375"/>
      <c r="S111" s="1375"/>
      <c r="T111" s="1375"/>
      <c r="U111" s="1375"/>
      <c r="V111" s="1375"/>
      <c r="W111" s="1375"/>
      <c r="X111" s="1375"/>
      <c r="Y111" s="1375"/>
      <c r="Z111" s="1375"/>
      <c r="AA111" s="1375"/>
      <c r="AB111" s="1375"/>
      <c r="AC111" s="1375"/>
      <c r="AD111" s="1375"/>
      <c r="AE111" s="1375"/>
      <c r="AF111" s="1375"/>
      <c r="AG111" s="1375"/>
      <c r="AH111" s="1375"/>
      <c r="AI111" s="1375"/>
      <c r="AJ111" s="1375"/>
    </row>
    <row r="112" spans="1:36" s="1372" customFormat="1" ht="12.75" customHeight="1">
      <c r="A112" s="1370" t="s">
        <v>64</v>
      </c>
      <c r="B112" s="1370">
        <v>483865579.47000003</v>
      </c>
      <c r="C112" s="1402">
        <v>5.2019999999999997E-2</v>
      </c>
      <c r="D112" s="1387">
        <v>5608</v>
      </c>
      <c r="E112" s="1402">
        <v>6.1530000000000001E-2</v>
      </c>
      <c r="G112" s="1413" t="s">
        <v>875</v>
      </c>
      <c r="H112" s="1414">
        <v>3294810988.4000001</v>
      </c>
      <c r="I112" s="1415">
        <v>0.35424</v>
      </c>
      <c r="J112" s="1416">
        <v>25075</v>
      </c>
      <c r="K112" s="1415">
        <v>0.27514</v>
      </c>
      <c r="M112" s="1375"/>
      <c r="N112" s="1375"/>
      <c r="O112" s="1375"/>
      <c r="P112" s="1375"/>
      <c r="Q112" s="1375"/>
      <c r="R112" s="1375"/>
      <c r="S112" s="1375"/>
      <c r="T112" s="1375"/>
      <c r="U112" s="1375"/>
      <c r="V112" s="1375"/>
      <c r="W112" s="1375"/>
      <c r="X112" s="1375"/>
      <c r="Y112" s="1375"/>
      <c r="Z112" s="1375"/>
      <c r="AA112" s="1375"/>
      <c r="AB112" s="1375"/>
      <c r="AC112" s="1375"/>
      <c r="AD112" s="1375"/>
      <c r="AE112" s="1375"/>
      <c r="AF112" s="1375"/>
      <c r="AG112" s="1375"/>
      <c r="AH112" s="1375"/>
      <c r="AI112" s="1375"/>
      <c r="AJ112" s="1375"/>
    </row>
    <row r="113" spans="1:36" s="1372" customFormat="1" ht="12.75" customHeight="1">
      <c r="A113" s="1370" t="s">
        <v>65</v>
      </c>
      <c r="B113" s="1370">
        <v>1032212582.85</v>
      </c>
      <c r="C113" s="1402">
        <v>0.11098</v>
      </c>
      <c r="D113" s="1387">
        <v>6687</v>
      </c>
      <c r="E113" s="1402">
        <v>7.3370000000000005E-2</v>
      </c>
      <c r="G113" s="1413" t="s">
        <v>876</v>
      </c>
      <c r="H113" s="1414">
        <v>906713623.89999998</v>
      </c>
      <c r="I113" s="1415">
        <v>9.7489999999999993E-2</v>
      </c>
      <c r="J113" s="1416">
        <v>8577</v>
      </c>
      <c r="K113" s="1415">
        <v>9.4109999999999999E-2</v>
      </c>
      <c r="M113" s="1375"/>
      <c r="N113" s="1375"/>
      <c r="O113" s="1375"/>
      <c r="P113" s="1375"/>
      <c r="Q113" s="1375"/>
      <c r="R113" s="1375"/>
      <c r="S113" s="1375"/>
      <c r="T113" s="1375"/>
      <c r="U113" s="1375"/>
      <c r="V113" s="1375"/>
      <c r="W113" s="1375"/>
      <c r="X113" s="1375"/>
      <c r="Y113" s="1375"/>
      <c r="Z113" s="1375"/>
      <c r="AA113" s="1375"/>
      <c r="AB113" s="1375"/>
      <c r="AC113" s="1375"/>
      <c r="AD113" s="1375"/>
      <c r="AE113" s="1375"/>
      <c r="AF113" s="1375"/>
      <c r="AG113" s="1375"/>
      <c r="AH113" s="1375"/>
      <c r="AI113" s="1375"/>
      <c r="AJ113" s="1375"/>
    </row>
    <row r="114" spans="1:36" s="1372" customFormat="1">
      <c r="A114" s="1370" t="s">
        <v>66</v>
      </c>
      <c r="B114" s="1370">
        <v>295912223.31999999</v>
      </c>
      <c r="C114" s="1402">
        <v>3.1820000000000001E-2</v>
      </c>
      <c r="D114" s="1387">
        <v>3878</v>
      </c>
      <c r="E114" s="1402">
        <v>4.2549999999999998E-2</v>
      </c>
      <c r="G114" s="1413" t="s">
        <v>877</v>
      </c>
      <c r="H114" s="1414">
        <v>2803149810.3600001</v>
      </c>
      <c r="I114" s="1415">
        <v>0.30137999999999998</v>
      </c>
      <c r="J114" s="1416">
        <v>30769</v>
      </c>
      <c r="K114" s="1415">
        <v>0.33761000000000002</v>
      </c>
      <c r="M114" s="1375"/>
      <c r="N114" s="1375"/>
      <c r="O114" s="1375"/>
      <c r="P114" s="1375"/>
      <c r="Q114" s="1375"/>
      <c r="R114" s="1375"/>
      <c r="S114" s="1375"/>
      <c r="T114" s="1375"/>
      <c r="U114" s="1375"/>
      <c r="V114" s="1375"/>
      <c r="W114" s="1375"/>
      <c r="X114" s="1375"/>
      <c r="Y114" s="1375"/>
      <c r="Z114" s="1375"/>
      <c r="AA114" s="1375"/>
      <c r="AB114" s="1375"/>
      <c r="AC114" s="1375"/>
      <c r="AD114" s="1375"/>
      <c r="AE114" s="1375"/>
      <c r="AF114" s="1375"/>
      <c r="AG114" s="1375"/>
      <c r="AH114" s="1375"/>
      <c r="AI114" s="1375"/>
      <c r="AJ114" s="1375"/>
    </row>
    <row r="115" spans="1:36" s="1372" customFormat="1">
      <c r="A115" s="1370" t="s">
        <v>67</v>
      </c>
      <c r="B115" s="1370">
        <v>775179893.72000003</v>
      </c>
      <c r="C115" s="1402">
        <v>8.3339999999999997E-2</v>
      </c>
      <c r="D115" s="1387">
        <v>9135</v>
      </c>
      <c r="E115" s="1402">
        <v>0.10023</v>
      </c>
      <c r="G115" s="1413" t="s">
        <v>878</v>
      </c>
      <c r="H115" s="1414">
        <v>1855898245.6500001</v>
      </c>
      <c r="I115" s="1415">
        <v>0.19954</v>
      </c>
      <c r="J115" s="1416">
        <v>21731</v>
      </c>
      <c r="K115" s="1415">
        <v>0.23844000000000001</v>
      </c>
      <c r="M115" s="1375"/>
      <c r="N115" s="1375"/>
      <c r="O115" s="1375"/>
      <c r="P115" s="1375"/>
      <c r="Q115" s="1375"/>
      <c r="R115" s="1375"/>
      <c r="S115" s="1375"/>
      <c r="T115" s="1375"/>
      <c r="U115" s="1375"/>
      <c r="V115" s="1375"/>
      <c r="W115" s="1375"/>
      <c r="X115" s="1375"/>
      <c r="Y115" s="1375"/>
      <c r="Z115" s="1375"/>
      <c r="AA115" s="1375"/>
      <c r="AB115" s="1375"/>
      <c r="AC115" s="1375"/>
      <c r="AD115" s="1375"/>
      <c r="AE115" s="1375"/>
      <c r="AF115" s="1375"/>
      <c r="AG115" s="1375"/>
      <c r="AH115" s="1375"/>
      <c r="AI115" s="1375"/>
      <c r="AJ115" s="1375"/>
    </row>
    <row r="116" spans="1:36" s="1372" customFormat="1" ht="13.5" thickBot="1">
      <c r="A116" s="1370" t="s">
        <v>68</v>
      </c>
      <c r="B116" s="1370">
        <v>253622315.87</v>
      </c>
      <c r="C116" s="1402">
        <v>2.7269999999999999E-2</v>
      </c>
      <c r="D116" s="1387">
        <v>3178</v>
      </c>
      <c r="E116" s="1402">
        <v>3.4869999999999998E-2</v>
      </c>
      <c r="G116" s="1392" t="s">
        <v>803</v>
      </c>
      <c r="H116" s="1393">
        <v>9300995038.3099995</v>
      </c>
      <c r="I116" s="1390">
        <v>1</v>
      </c>
      <c r="J116" s="1391">
        <v>91137</v>
      </c>
      <c r="K116" s="1390">
        <v>1</v>
      </c>
      <c r="M116" s="1375"/>
      <c r="N116" s="1375"/>
      <c r="O116" s="1375"/>
      <c r="P116" s="1375"/>
      <c r="Q116" s="1375"/>
      <c r="R116" s="1375"/>
      <c r="S116" s="1375"/>
      <c r="T116" s="1375"/>
      <c r="U116" s="1375"/>
      <c r="V116" s="1375"/>
      <c r="W116" s="1375"/>
      <c r="X116" s="1375"/>
      <c r="Y116" s="1375"/>
      <c r="Z116" s="1375"/>
      <c r="AA116" s="1375"/>
      <c r="AB116" s="1375"/>
      <c r="AC116" s="1375"/>
      <c r="AD116" s="1375"/>
      <c r="AE116" s="1375"/>
      <c r="AF116" s="1375"/>
      <c r="AG116" s="1375"/>
      <c r="AH116" s="1375"/>
      <c r="AI116" s="1375"/>
      <c r="AJ116" s="1375"/>
    </row>
    <row r="117" spans="1:36" s="1372" customFormat="1" ht="13.5" thickTop="1">
      <c r="A117" s="1370" t="s">
        <v>69</v>
      </c>
      <c r="B117" s="1370">
        <v>3503729327.3200002</v>
      </c>
      <c r="C117" s="1402">
        <v>0.37669999999999998</v>
      </c>
      <c r="D117" s="1387">
        <v>29791</v>
      </c>
      <c r="E117" s="1402">
        <v>0.32688</v>
      </c>
      <c r="M117" s="1375"/>
      <c r="N117" s="1375"/>
      <c r="O117" s="1375"/>
      <c r="P117" s="1375"/>
      <c r="Q117" s="1375"/>
      <c r="R117" s="1375"/>
      <c r="S117" s="1375"/>
      <c r="T117" s="1375"/>
      <c r="U117" s="1375"/>
      <c r="V117" s="1375"/>
      <c r="W117" s="1375"/>
      <c r="X117" s="1375"/>
      <c r="Y117" s="1375"/>
      <c r="Z117" s="1375"/>
      <c r="AA117" s="1375"/>
      <c r="AB117" s="1375"/>
      <c r="AC117" s="1375"/>
      <c r="AD117" s="1375"/>
      <c r="AE117" s="1375"/>
      <c r="AF117" s="1375"/>
      <c r="AG117" s="1375"/>
      <c r="AH117" s="1375"/>
      <c r="AI117" s="1375"/>
      <c r="AJ117" s="1375"/>
    </row>
    <row r="118" spans="1:36" s="1372" customFormat="1">
      <c r="A118" s="1370" t="s">
        <v>70</v>
      </c>
      <c r="B118" s="1370">
        <v>754064031.73000002</v>
      </c>
      <c r="C118" s="1402">
        <v>8.1070000000000003E-2</v>
      </c>
      <c r="D118" s="1387">
        <v>7758</v>
      </c>
      <c r="E118" s="1402">
        <v>8.5120000000000001E-2</v>
      </c>
      <c r="M118" s="1375"/>
      <c r="N118" s="1375"/>
      <c r="O118" s="1375"/>
      <c r="P118" s="1375"/>
      <c r="Q118" s="1375"/>
      <c r="R118" s="1375"/>
      <c r="S118" s="1375"/>
      <c r="T118" s="1375"/>
      <c r="U118" s="1375"/>
      <c r="V118" s="1375"/>
      <c r="W118" s="1375"/>
      <c r="X118" s="1375"/>
      <c r="Y118" s="1375"/>
      <c r="Z118" s="1375"/>
      <c r="AA118" s="1375"/>
      <c r="AB118" s="1375"/>
      <c r="AC118" s="1375"/>
      <c r="AD118" s="1375"/>
      <c r="AE118" s="1375"/>
      <c r="AF118" s="1375"/>
      <c r="AG118" s="1375"/>
      <c r="AH118" s="1375"/>
      <c r="AI118" s="1375"/>
      <c r="AJ118" s="1375"/>
    </row>
    <row r="119" spans="1:36" s="1372" customFormat="1">
      <c r="A119" s="1370" t="s">
        <v>71</v>
      </c>
      <c r="B119" s="1370">
        <v>368402327.82999998</v>
      </c>
      <c r="C119" s="1402">
        <v>3.9609999999999999E-2</v>
      </c>
      <c r="D119" s="1387">
        <v>4652</v>
      </c>
      <c r="E119" s="1402">
        <v>5.1040000000000002E-2</v>
      </c>
      <c r="G119" s="1409"/>
      <c r="H119" s="1409"/>
      <c r="I119" s="1409"/>
      <c r="M119" s="1375"/>
      <c r="N119" s="1375"/>
      <c r="O119" s="1375"/>
      <c r="P119" s="1375"/>
      <c r="Q119" s="1375"/>
      <c r="R119" s="1375"/>
      <c r="S119" s="1375"/>
      <c r="T119" s="1375"/>
      <c r="U119" s="1375"/>
      <c r="V119" s="1375"/>
      <c r="W119" s="1375"/>
      <c r="X119" s="1375"/>
      <c r="Y119" s="1375"/>
      <c r="Z119" s="1375"/>
      <c r="AA119" s="1375"/>
      <c r="AB119" s="1375"/>
      <c r="AC119" s="1375"/>
      <c r="AD119" s="1375"/>
      <c r="AE119" s="1375"/>
      <c r="AF119" s="1375"/>
      <c r="AG119" s="1375"/>
      <c r="AH119" s="1375"/>
      <c r="AI119" s="1375"/>
      <c r="AJ119" s="1375"/>
    </row>
    <row r="120" spans="1:36" s="1372" customFormat="1">
      <c r="A120" s="1370" t="s">
        <v>72</v>
      </c>
      <c r="B120" s="1370">
        <v>632358714.94000006</v>
      </c>
      <c r="C120" s="1402">
        <v>6.7989999999999995E-2</v>
      </c>
      <c r="D120" s="1387">
        <v>7146</v>
      </c>
      <c r="E120" s="1402">
        <v>7.8409999999999994E-2</v>
      </c>
      <c r="F120" s="1417"/>
      <c r="G120" s="1409"/>
      <c r="H120" s="1409"/>
      <c r="I120" s="1409"/>
      <c r="M120" s="1375"/>
      <c r="N120" s="1375"/>
      <c r="O120" s="1375"/>
      <c r="P120" s="1375"/>
      <c r="Q120" s="1375"/>
      <c r="R120" s="1375"/>
      <c r="S120" s="1375"/>
      <c r="T120" s="1375"/>
      <c r="U120" s="1375"/>
      <c r="V120" s="1375"/>
      <c r="W120" s="1375"/>
      <c r="X120" s="1375"/>
      <c r="Y120" s="1375"/>
      <c r="Z120" s="1375"/>
      <c r="AA120" s="1375"/>
      <c r="AB120" s="1375"/>
      <c r="AC120" s="1375"/>
      <c r="AD120" s="1375"/>
      <c r="AE120" s="1375"/>
      <c r="AF120" s="1375"/>
      <c r="AG120" s="1375"/>
      <c r="AH120" s="1375"/>
      <c r="AI120" s="1375"/>
      <c r="AJ120" s="1375"/>
    </row>
    <row r="121" spans="1:36" s="1372" customFormat="1">
      <c r="A121" s="1370" t="s">
        <v>73</v>
      </c>
      <c r="B121" s="1370">
        <v>536947301.80999994</v>
      </c>
      <c r="C121" s="1402">
        <v>5.7729999999999997E-2</v>
      </c>
      <c r="D121" s="1387">
        <v>6529</v>
      </c>
      <c r="E121" s="1402">
        <v>7.1639999999999995E-2</v>
      </c>
      <c r="F121" s="1418"/>
      <c r="G121" s="1374"/>
      <c r="H121" s="1374"/>
      <c r="I121" s="1374"/>
      <c r="M121" s="1375"/>
      <c r="N121" s="1375"/>
      <c r="O121" s="1375"/>
      <c r="P121" s="1375"/>
      <c r="Q121" s="1375"/>
      <c r="R121" s="1375"/>
      <c r="S121" s="1375"/>
      <c r="T121" s="1375"/>
      <c r="U121" s="1375"/>
      <c r="V121" s="1375"/>
      <c r="W121" s="1375"/>
      <c r="X121" s="1375"/>
      <c r="Y121" s="1375"/>
      <c r="Z121" s="1375"/>
      <c r="AA121" s="1375"/>
      <c r="AB121" s="1375"/>
      <c r="AC121" s="1375"/>
      <c r="AD121" s="1375"/>
      <c r="AE121" s="1375"/>
      <c r="AF121" s="1375"/>
      <c r="AG121" s="1375"/>
      <c r="AH121" s="1375"/>
      <c r="AI121" s="1375"/>
      <c r="AJ121" s="1375"/>
    </row>
    <row r="122" spans="1:36" s="1372" customFormat="1" ht="13.5" thickBot="1">
      <c r="A122" s="1392" t="s">
        <v>803</v>
      </c>
      <c r="B122" s="1393">
        <v>9300995038.3099995</v>
      </c>
      <c r="C122" s="1390">
        <v>1</v>
      </c>
      <c r="D122" s="1391">
        <v>91137</v>
      </c>
      <c r="E122" s="1390">
        <v>0.99997999999999998</v>
      </c>
      <c r="G122" s="1374"/>
      <c r="H122" s="1374"/>
      <c r="I122" s="1374"/>
      <c r="M122" s="1375"/>
      <c r="N122" s="1375"/>
      <c r="O122" s="1375"/>
      <c r="P122" s="1375"/>
      <c r="Q122" s="1375"/>
      <c r="R122" s="1375"/>
      <c r="S122" s="1375"/>
      <c r="T122" s="1375"/>
      <c r="U122" s="1375"/>
      <c r="V122" s="1375"/>
      <c r="W122" s="1375"/>
      <c r="X122" s="1375"/>
      <c r="Y122" s="1375"/>
      <c r="Z122" s="1375"/>
      <c r="AA122" s="1375"/>
      <c r="AB122" s="1375"/>
      <c r="AC122" s="1375"/>
      <c r="AD122" s="1375"/>
      <c r="AE122" s="1375"/>
      <c r="AF122" s="1375"/>
      <c r="AG122" s="1375"/>
      <c r="AH122" s="1375"/>
      <c r="AI122" s="1375"/>
      <c r="AJ122" s="1375"/>
    </row>
    <row r="123" spans="1:36" s="1372" customFormat="1" ht="13.5" thickTop="1">
      <c r="A123" s="1392"/>
      <c r="B123" s="1419"/>
      <c r="C123" s="1395"/>
      <c r="D123" s="1400"/>
      <c r="E123" s="1395"/>
      <c r="G123" s="1374"/>
      <c r="H123" s="1374"/>
      <c r="I123" s="1374"/>
      <c r="M123" s="1375"/>
      <c r="N123" s="1375"/>
      <c r="O123" s="1375"/>
      <c r="P123" s="1375"/>
      <c r="Q123" s="1375"/>
      <c r="R123" s="1375"/>
      <c r="S123" s="1375"/>
      <c r="T123" s="1375"/>
      <c r="U123" s="1375"/>
      <c r="V123" s="1375"/>
      <c r="W123" s="1375"/>
      <c r="X123" s="1375"/>
      <c r="Y123" s="1375"/>
      <c r="Z123" s="1375"/>
      <c r="AA123" s="1375"/>
      <c r="AB123" s="1375"/>
      <c r="AC123" s="1375"/>
      <c r="AD123" s="1375"/>
      <c r="AE123" s="1375"/>
      <c r="AF123" s="1375"/>
      <c r="AG123" s="1375"/>
      <c r="AH123" s="1375"/>
      <c r="AI123" s="1375"/>
      <c r="AJ123" s="1375"/>
    </row>
    <row r="124" spans="1:36" s="1372" customFormat="1">
      <c r="A124" s="1392"/>
      <c r="B124" s="1419"/>
      <c r="C124" s="1395"/>
      <c r="D124" s="1400"/>
      <c r="E124" s="1395"/>
      <c r="G124" s="1374"/>
      <c r="H124" s="1374"/>
      <c r="I124" s="1374"/>
      <c r="M124" s="1375"/>
      <c r="N124" s="1375"/>
      <c r="O124" s="1375"/>
      <c r="P124" s="1375"/>
      <c r="Q124" s="1375"/>
      <c r="R124" s="1375"/>
      <c r="S124" s="1375"/>
      <c r="T124" s="1375"/>
      <c r="U124" s="1375"/>
      <c r="V124" s="1375"/>
      <c r="W124" s="1375"/>
      <c r="X124" s="1375"/>
      <c r="Y124" s="1375"/>
      <c r="Z124" s="1375"/>
      <c r="AA124" s="1375"/>
      <c r="AB124" s="1375"/>
      <c r="AC124" s="1375"/>
      <c r="AD124" s="1375"/>
      <c r="AE124" s="1375"/>
      <c r="AF124" s="1375"/>
      <c r="AG124" s="1375"/>
      <c r="AH124" s="1375"/>
      <c r="AI124" s="1375"/>
      <c r="AJ124" s="1375"/>
    </row>
    <row r="125" spans="1:36" s="1372" customFormat="1">
      <c r="A125" s="1392"/>
      <c r="B125" s="1419"/>
      <c r="C125" s="1395"/>
      <c r="D125" s="1400"/>
      <c r="E125" s="1395"/>
      <c r="G125" s="1374"/>
      <c r="H125" s="1374"/>
      <c r="I125" s="1374"/>
      <c r="M125" s="1375"/>
      <c r="N125" s="1375"/>
      <c r="O125" s="1375"/>
      <c r="P125" s="1375"/>
      <c r="Q125" s="1375"/>
      <c r="R125" s="1375"/>
      <c r="S125" s="1375"/>
      <c r="T125" s="1375"/>
      <c r="U125" s="1375"/>
      <c r="V125" s="1375"/>
      <c r="W125" s="1375"/>
      <c r="X125" s="1375"/>
      <c r="Y125" s="1375"/>
      <c r="Z125" s="1375"/>
      <c r="AA125" s="1375"/>
      <c r="AB125" s="1375"/>
      <c r="AC125" s="1375"/>
      <c r="AD125" s="1375"/>
      <c r="AE125" s="1375"/>
      <c r="AF125" s="1375"/>
      <c r="AG125" s="1375"/>
      <c r="AH125" s="1375"/>
      <c r="AI125" s="1375"/>
      <c r="AJ125" s="1375"/>
    </row>
    <row r="126" spans="1:36" s="1372" customFormat="1">
      <c r="A126" s="1420"/>
      <c r="B126" s="1370"/>
      <c r="C126" s="1386"/>
      <c r="D126" s="1370"/>
      <c r="E126" s="1386"/>
      <c r="F126" s="1409"/>
      <c r="M126" s="1375"/>
      <c r="N126" s="1375"/>
      <c r="O126" s="1375"/>
      <c r="P126" s="1375"/>
      <c r="Q126" s="1375"/>
      <c r="R126" s="1375"/>
      <c r="S126" s="1375"/>
      <c r="T126" s="1375"/>
      <c r="U126" s="1375"/>
      <c r="V126" s="1375"/>
      <c r="W126" s="1375"/>
      <c r="X126" s="1375"/>
      <c r="Y126" s="1375"/>
      <c r="Z126" s="1375"/>
      <c r="AA126" s="1375"/>
      <c r="AB126" s="1375"/>
      <c r="AC126" s="1375"/>
      <c r="AD126" s="1375"/>
      <c r="AE126" s="1375"/>
      <c r="AF126" s="1375"/>
      <c r="AG126" s="1375"/>
      <c r="AH126" s="1375"/>
      <c r="AI126" s="1375"/>
      <c r="AJ126" s="1375"/>
    </row>
    <row r="127" spans="1:36" s="1372" customFormat="1" ht="15.75">
      <c r="A127" s="1377" t="s">
        <v>799</v>
      </c>
      <c r="B127" s="1421"/>
      <c r="C127" s="1422"/>
      <c r="D127" s="1421"/>
      <c r="E127" s="1422"/>
      <c r="F127" s="1375"/>
      <c r="G127" s="1377" t="s">
        <v>804</v>
      </c>
      <c r="H127" s="1394"/>
      <c r="I127" s="1395"/>
      <c r="J127" s="1396"/>
      <c r="K127" s="1395"/>
      <c r="M127" s="1375"/>
      <c r="N127" s="1375"/>
      <c r="O127" s="1375"/>
      <c r="P127" s="1375"/>
      <c r="Q127" s="1375"/>
      <c r="R127" s="1375"/>
      <c r="S127" s="1375"/>
      <c r="T127" s="1375"/>
      <c r="U127" s="1375"/>
      <c r="V127" s="1375"/>
      <c r="W127" s="1375"/>
      <c r="X127" s="1375"/>
      <c r="Y127" s="1375"/>
      <c r="Z127" s="1375"/>
      <c r="AA127" s="1375"/>
      <c r="AB127" s="1375"/>
      <c r="AC127" s="1375"/>
      <c r="AD127" s="1375"/>
      <c r="AE127" s="1375"/>
      <c r="AF127" s="1375"/>
      <c r="AG127" s="1375"/>
      <c r="AH127" s="1375"/>
      <c r="AI127" s="1375"/>
      <c r="AJ127" s="1375"/>
    </row>
    <row r="128" spans="1:36" s="1372" customFormat="1" ht="25.5">
      <c r="A128" s="1423" t="s">
        <v>800</v>
      </c>
      <c r="B128" s="1380" t="s">
        <v>943</v>
      </c>
      <c r="C128" s="1381" t="s">
        <v>1010</v>
      </c>
      <c r="D128" s="1380" t="s">
        <v>892</v>
      </c>
      <c r="E128" s="1381" t="s">
        <v>1010</v>
      </c>
      <c r="F128" s="1327"/>
      <c r="G128" s="1424" t="s">
        <v>805</v>
      </c>
      <c r="H128" s="1380" t="s">
        <v>943</v>
      </c>
      <c r="I128" s="1381" t="s">
        <v>1010</v>
      </c>
      <c r="J128" s="1425" t="s">
        <v>1011</v>
      </c>
      <c r="K128" s="1381" t="s">
        <v>1010</v>
      </c>
      <c r="M128" s="1375"/>
      <c r="N128" s="1375"/>
      <c r="O128" s="1375"/>
      <c r="P128" s="1375"/>
      <c r="Q128" s="1375"/>
      <c r="R128" s="1375"/>
      <c r="S128" s="1375"/>
      <c r="T128" s="1375"/>
      <c r="U128" s="1375"/>
      <c r="V128" s="1375"/>
      <c r="W128" s="1375"/>
      <c r="X128" s="1375"/>
      <c r="Y128" s="1375"/>
      <c r="Z128" s="1375"/>
      <c r="AA128" s="1375"/>
      <c r="AB128" s="1375"/>
      <c r="AC128" s="1375"/>
      <c r="AD128" s="1375"/>
      <c r="AE128" s="1375"/>
      <c r="AF128" s="1375"/>
      <c r="AG128" s="1375"/>
      <c r="AH128" s="1375"/>
      <c r="AI128" s="1375"/>
      <c r="AJ128" s="1375"/>
    </row>
    <row r="129" spans="1:36" s="1372" customFormat="1">
      <c r="A129" s="1426" t="s">
        <v>893</v>
      </c>
      <c r="B129" s="1370">
        <v>563456475.83000004</v>
      </c>
      <c r="C129" s="1402">
        <v>6.0580000000000002E-2</v>
      </c>
      <c r="D129" s="1387">
        <v>16269</v>
      </c>
      <c r="E129" s="1402">
        <v>0.17851</v>
      </c>
      <c r="F129" s="1375"/>
      <c r="G129" s="1427" t="s">
        <v>893</v>
      </c>
      <c r="H129" s="1414">
        <v>180578674.77000001</v>
      </c>
      <c r="I129" s="1415">
        <v>1.941E-2</v>
      </c>
      <c r="J129" s="1416">
        <v>5508</v>
      </c>
      <c r="K129" s="1415">
        <v>6.0440000000000001E-2</v>
      </c>
      <c r="M129" s="1375"/>
      <c r="N129" s="1375"/>
      <c r="O129" s="1375"/>
      <c r="P129" s="1375"/>
      <c r="Q129" s="1375"/>
      <c r="R129" s="1375"/>
      <c r="S129" s="1375"/>
      <c r="T129" s="1375"/>
      <c r="U129" s="1375"/>
      <c r="V129" s="1375"/>
      <c r="W129" s="1375"/>
      <c r="X129" s="1375"/>
      <c r="Y129" s="1375"/>
      <c r="Z129" s="1375"/>
      <c r="AA129" s="1375"/>
      <c r="AB129" s="1375"/>
      <c r="AC129" s="1375"/>
      <c r="AD129" s="1375"/>
      <c r="AE129" s="1375"/>
      <c r="AF129" s="1375"/>
      <c r="AG129" s="1375"/>
      <c r="AH129" s="1375"/>
      <c r="AI129" s="1375"/>
      <c r="AJ129" s="1375"/>
    </row>
    <row r="130" spans="1:36" s="1372" customFormat="1" ht="13.5" customHeight="1">
      <c r="A130" s="1426" t="s">
        <v>894</v>
      </c>
      <c r="B130" s="1370">
        <v>857265283.26999998</v>
      </c>
      <c r="C130" s="1402">
        <v>9.2170000000000002E-2</v>
      </c>
      <c r="D130" s="1387">
        <v>12912</v>
      </c>
      <c r="E130" s="1402">
        <v>0.14168</v>
      </c>
      <c r="F130" s="1327"/>
      <c r="G130" s="1427" t="s">
        <v>894</v>
      </c>
      <c r="H130" s="1414">
        <v>481173087.63</v>
      </c>
      <c r="I130" s="1415">
        <v>5.1729999999999998E-2</v>
      </c>
      <c r="J130" s="1416">
        <v>9288</v>
      </c>
      <c r="K130" s="1415">
        <v>0.10191</v>
      </c>
      <c r="M130" s="1375"/>
      <c r="N130" s="1375"/>
      <c r="O130" s="1375"/>
      <c r="P130" s="1375"/>
      <c r="Q130" s="1375"/>
      <c r="R130" s="1375"/>
      <c r="S130" s="1375"/>
      <c r="T130" s="1375"/>
      <c r="U130" s="1375"/>
      <c r="V130" s="1375"/>
      <c r="W130" s="1375"/>
      <c r="X130" s="1375"/>
      <c r="Y130" s="1375"/>
      <c r="Z130" s="1375"/>
      <c r="AA130" s="1375"/>
      <c r="AB130" s="1375"/>
      <c r="AC130" s="1375"/>
      <c r="AD130" s="1375"/>
      <c r="AE130" s="1375"/>
      <c r="AF130" s="1375"/>
      <c r="AG130" s="1375"/>
      <c r="AH130" s="1375"/>
      <c r="AI130" s="1375"/>
      <c r="AJ130" s="1375"/>
    </row>
    <row r="131" spans="1:36" s="1372" customFormat="1" ht="13.5" customHeight="1">
      <c r="A131" s="1426" t="s">
        <v>895</v>
      </c>
      <c r="B131" s="1370">
        <v>1254063359.6600001</v>
      </c>
      <c r="C131" s="1402">
        <v>0.13483000000000001</v>
      </c>
      <c r="D131" s="1387">
        <v>14172</v>
      </c>
      <c r="E131" s="1402">
        <v>0.1555</v>
      </c>
      <c r="F131" s="1375"/>
      <c r="G131" s="1427" t="s">
        <v>895</v>
      </c>
      <c r="H131" s="1414">
        <v>882484198.01999998</v>
      </c>
      <c r="I131" s="1415">
        <v>9.4880000000000006E-2</v>
      </c>
      <c r="J131" s="1416">
        <v>12831</v>
      </c>
      <c r="K131" s="1415">
        <v>0.14079</v>
      </c>
      <c r="M131" s="1375"/>
      <c r="N131" s="1375"/>
      <c r="O131" s="1375"/>
      <c r="P131" s="1375"/>
      <c r="Q131" s="1375"/>
      <c r="R131" s="1375"/>
      <c r="S131" s="1375"/>
      <c r="T131" s="1375"/>
      <c r="U131" s="1375"/>
      <c r="V131" s="1375"/>
      <c r="W131" s="1375"/>
      <c r="X131" s="1375"/>
      <c r="Y131" s="1375"/>
      <c r="Z131" s="1375"/>
      <c r="AA131" s="1375"/>
      <c r="AB131" s="1375"/>
      <c r="AC131" s="1375"/>
      <c r="AD131" s="1375"/>
      <c r="AE131" s="1375"/>
      <c r="AF131" s="1375"/>
      <c r="AG131" s="1375"/>
      <c r="AH131" s="1375"/>
      <c r="AI131" s="1375"/>
      <c r="AJ131" s="1375"/>
    </row>
    <row r="132" spans="1:36" s="1372" customFormat="1" ht="13.5" customHeight="1">
      <c r="A132" s="1426" t="s">
        <v>896</v>
      </c>
      <c r="B132" s="1370">
        <v>1473344438.71</v>
      </c>
      <c r="C132" s="1402">
        <v>0.15841</v>
      </c>
      <c r="D132" s="1387">
        <v>13506</v>
      </c>
      <c r="E132" s="1402">
        <v>0.14818999999999999</v>
      </c>
      <c r="F132" s="1312"/>
      <c r="G132" s="1427" t="s">
        <v>896</v>
      </c>
      <c r="H132" s="1414">
        <v>1253164051.52</v>
      </c>
      <c r="I132" s="1415">
        <v>0.13472999999999999</v>
      </c>
      <c r="J132" s="1416">
        <v>14358</v>
      </c>
      <c r="K132" s="1415">
        <v>0.15754000000000001</v>
      </c>
      <c r="L132" s="1428"/>
      <c r="M132" s="1375"/>
      <c r="N132" s="1375"/>
      <c r="O132" s="1375"/>
      <c r="P132" s="1375"/>
      <c r="Q132" s="1375"/>
      <c r="R132" s="1375"/>
      <c r="S132" s="1375"/>
      <c r="T132" s="1375"/>
      <c r="U132" s="1375"/>
      <c r="V132" s="1375"/>
      <c r="W132" s="1375"/>
      <c r="X132" s="1375"/>
      <c r="Y132" s="1375"/>
      <c r="Z132" s="1375"/>
      <c r="AA132" s="1375"/>
      <c r="AB132" s="1375"/>
      <c r="AC132" s="1375"/>
      <c r="AD132" s="1375"/>
      <c r="AE132" s="1375"/>
      <c r="AF132" s="1375"/>
      <c r="AG132" s="1375"/>
      <c r="AH132" s="1375"/>
      <c r="AI132" s="1375"/>
      <c r="AJ132" s="1375"/>
    </row>
    <row r="133" spans="1:36" s="1372" customFormat="1" ht="13.5" customHeight="1">
      <c r="A133" s="1426" t="s">
        <v>897</v>
      </c>
      <c r="B133" s="1370">
        <v>1605373845.22</v>
      </c>
      <c r="C133" s="1402">
        <v>0.1726</v>
      </c>
      <c r="D133" s="1387">
        <v>12071</v>
      </c>
      <c r="E133" s="1402">
        <v>0.13245000000000001</v>
      </c>
      <c r="F133" s="1312"/>
      <c r="G133" s="1427" t="s">
        <v>897</v>
      </c>
      <c r="H133" s="1414">
        <v>1725438829.1300001</v>
      </c>
      <c r="I133" s="1415">
        <v>0.18551000000000001</v>
      </c>
      <c r="J133" s="1416">
        <v>15478</v>
      </c>
      <c r="K133" s="1415">
        <v>0.16983000000000001</v>
      </c>
      <c r="M133" s="1375"/>
      <c r="N133" s="1375"/>
      <c r="O133" s="1375"/>
      <c r="P133" s="1375"/>
      <c r="Q133" s="1375"/>
      <c r="R133" s="1375"/>
      <c r="S133" s="1375"/>
      <c r="T133" s="1375"/>
      <c r="U133" s="1375"/>
      <c r="V133" s="1375"/>
      <c r="W133" s="1375"/>
      <c r="X133" s="1375"/>
      <c r="Y133" s="1375"/>
      <c r="Z133" s="1375"/>
      <c r="AA133" s="1375"/>
      <c r="AB133" s="1375"/>
      <c r="AC133" s="1375"/>
      <c r="AD133" s="1375"/>
      <c r="AE133" s="1375"/>
      <c r="AF133" s="1375"/>
      <c r="AG133" s="1375"/>
      <c r="AH133" s="1375"/>
      <c r="AI133" s="1375"/>
      <c r="AJ133" s="1375"/>
    </row>
    <row r="134" spans="1:36" s="1372" customFormat="1" ht="13.5" customHeight="1">
      <c r="A134" s="1426" t="s">
        <v>898</v>
      </c>
      <c r="B134" s="1370">
        <v>1562400288.74</v>
      </c>
      <c r="C134" s="1402">
        <v>0.16797999999999999</v>
      </c>
      <c r="D134" s="1387">
        <v>10453</v>
      </c>
      <c r="E134" s="1402">
        <v>0.1147</v>
      </c>
      <c r="F134" s="1312"/>
      <c r="G134" s="1427" t="s">
        <v>898</v>
      </c>
      <c r="H134" s="1414">
        <v>1692956650.3699999</v>
      </c>
      <c r="I134" s="1415">
        <v>0.18201999999999999</v>
      </c>
      <c r="J134" s="1416">
        <v>12998</v>
      </c>
      <c r="K134" s="1415">
        <v>0.14262</v>
      </c>
      <c r="M134" s="1375"/>
      <c r="N134" s="1375"/>
      <c r="O134" s="1375"/>
      <c r="P134" s="1375"/>
      <c r="Q134" s="1375"/>
      <c r="R134" s="1375"/>
      <c r="S134" s="1375"/>
      <c r="T134" s="1375"/>
      <c r="U134" s="1375"/>
      <c r="V134" s="1375"/>
      <c r="W134" s="1375"/>
      <c r="X134" s="1375"/>
      <c r="Y134" s="1375"/>
      <c r="Z134" s="1375"/>
      <c r="AA134" s="1375"/>
      <c r="AB134" s="1375"/>
      <c r="AC134" s="1375"/>
      <c r="AD134" s="1375"/>
      <c r="AE134" s="1375"/>
      <c r="AF134" s="1375"/>
      <c r="AG134" s="1375"/>
      <c r="AH134" s="1375"/>
      <c r="AI134" s="1375"/>
      <c r="AJ134" s="1375"/>
    </row>
    <row r="135" spans="1:36" s="1372" customFormat="1" ht="12.75" customHeight="1">
      <c r="A135" s="1426" t="s">
        <v>899</v>
      </c>
      <c r="B135" s="1370">
        <v>1454391178.97</v>
      </c>
      <c r="C135" s="1402">
        <v>0.15637000000000001</v>
      </c>
      <c r="D135" s="1387">
        <v>8571</v>
      </c>
      <c r="E135" s="1402">
        <v>9.4049999999999995E-2</v>
      </c>
      <c r="F135" s="1375"/>
      <c r="G135" s="1427" t="s">
        <v>899</v>
      </c>
      <c r="H135" s="1414">
        <v>2111165474.1300001</v>
      </c>
      <c r="I135" s="1415">
        <v>0.22697999999999999</v>
      </c>
      <c r="J135" s="1416">
        <v>14112</v>
      </c>
      <c r="K135" s="1415">
        <v>0.15484000000000001</v>
      </c>
      <c r="M135" s="1375"/>
      <c r="N135" s="1375"/>
      <c r="O135" s="1375"/>
      <c r="P135" s="1375"/>
      <c r="Q135" s="1375"/>
      <c r="R135" s="1375"/>
      <c r="S135" s="1375"/>
      <c r="T135" s="1375"/>
      <c r="U135" s="1375"/>
      <c r="V135" s="1375"/>
      <c r="W135" s="1375"/>
      <c r="X135" s="1375"/>
      <c r="Y135" s="1375"/>
      <c r="Z135" s="1375"/>
      <c r="AA135" s="1375"/>
      <c r="AB135" s="1375"/>
      <c r="AC135" s="1375"/>
      <c r="AD135" s="1375"/>
      <c r="AE135" s="1375"/>
      <c r="AF135" s="1375"/>
      <c r="AG135" s="1375"/>
      <c r="AH135" s="1375"/>
      <c r="AI135" s="1375"/>
      <c r="AJ135" s="1375"/>
    </row>
    <row r="136" spans="1:36" s="1372" customFormat="1">
      <c r="A136" s="1426" t="s">
        <v>900</v>
      </c>
      <c r="B136" s="1370">
        <v>512435074.83999997</v>
      </c>
      <c r="C136" s="1402">
        <v>5.509E-2</v>
      </c>
      <c r="D136" s="1387">
        <v>3086</v>
      </c>
      <c r="E136" s="1402">
        <v>3.3860000000000001E-2</v>
      </c>
      <c r="F136" s="1375"/>
      <c r="G136" s="1427" t="s">
        <v>900</v>
      </c>
      <c r="H136" s="1414">
        <v>949984507.54999995</v>
      </c>
      <c r="I136" s="1415">
        <v>0.10213999999999999</v>
      </c>
      <c r="J136" s="1416">
        <v>6422</v>
      </c>
      <c r="K136" s="1415">
        <v>7.0470000000000005E-2</v>
      </c>
      <c r="M136" s="1375"/>
      <c r="N136" s="1375"/>
      <c r="O136" s="1375"/>
      <c r="P136" s="1375"/>
      <c r="Q136" s="1375"/>
      <c r="R136" s="1375"/>
      <c r="S136" s="1375"/>
      <c r="T136" s="1375"/>
      <c r="U136" s="1375"/>
      <c r="V136" s="1375"/>
      <c r="W136" s="1375"/>
      <c r="X136" s="1375"/>
      <c r="Y136" s="1375"/>
      <c r="Z136" s="1375"/>
      <c r="AA136" s="1375"/>
      <c r="AB136" s="1375"/>
      <c r="AC136" s="1375"/>
      <c r="AD136" s="1375"/>
      <c r="AE136" s="1375"/>
      <c r="AF136" s="1375"/>
      <c r="AG136" s="1375"/>
      <c r="AH136" s="1375"/>
      <c r="AI136" s="1375"/>
      <c r="AJ136" s="1375"/>
    </row>
    <row r="137" spans="1:36" s="1372" customFormat="1" ht="13.5" customHeight="1">
      <c r="A137" s="1426" t="s">
        <v>802</v>
      </c>
      <c r="B137" s="1370">
        <v>18265093.07</v>
      </c>
      <c r="C137" s="1402">
        <v>1.9599999999999999E-3</v>
      </c>
      <c r="D137" s="1387">
        <v>97</v>
      </c>
      <c r="E137" s="1402">
        <v>1.06E-3</v>
      </c>
      <c r="F137" s="1375"/>
      <c r="G137" s="1427" t="s">
        <v>802</v>
      </c>
      <c r="H137" s="1414">
        <v>24049565.190000001</v>
      </c>
      <c r="I137" s="1415">
        <v>2.5899999999999999E-3</v>
      </c>
      <c r="J137" s="1416">
        <v>142</v>
      </c>
      <c r="K137" s="1415">
        <v>1.56E-3</v>
      </c>
      <c r="M137" s="1375"/>
      <c r="N137" s="1375"/>
      <c r="O137" s="1375"/>
      <c r="P137" s="1375"/>
      <c r="Q137" s="1375"/>
      <c r="R137" s="1375"/>
      <c r="S137" s="1375"/>
      <c r="T137" s="1375"/>
      <c r="U137" s="1375"/>
      <c r="V137" s="1375"/>
      <c r="W137" s="1375"/>
      <c r="X137" s="1375"/>
      <c r="Y137" s="1375"/>
      <c r="Z137" s="1375"/>
      <c r="AA137" s="1375"/>
      <c r="AB137" s="1375"/>
      <c r="AC137" s="1375"/>
      <c r="AD137" s="1375"/>
      <c r="AE137" s="1375"/>
      <c r="AF137" s="1375"/>
      <c r="AG137" s="1375"/>
      <c r="AH137" s="1375"/>
      <c r="AI137" s="1375"/>
      <c r="AJ137" s="1375"/>
    </row>
    <row r="138" spans="1:36" s="1372" customFormat="1" ht="13.5" customHeight="1" thickBot="1">
      <c r="A138" s="1392" t="s">
        <v>803</v>
      </c>
      <c r="B138" s="1393">
        <v>9300995038.3099995</v>
      </c>
      <c r="C138" s="1390">
        <v>0.99998999999999993</v>
      </c>
      <c r="D138" s="1391">
        <v>91137</v>
      </c>
      <c r="E138" s="1390">
        <v>0.99999999999999989</v>
      </c>
      <c r="F138" s="1375"/>
      <c r="G138" s="1392" t="s">
        <v>803</v>
      </c>
      <c r="H138" s="1393">
        <v>9300995038.3099995</v>
      </c>
      <c r="I138" s="1390">
        <v>0.99998999999999993</v>
      </c>
      <c r="J138" s="1391">
        <v>91137</v>
      </c>
      <c r="K138" s="1390">
        <v>1</v>
      </c>
      <c r="M138" s="1375"/>
      <c r="N138" s="1375"/>
      <c r="O138" s="1375"/>
      <c r="P138" s="1375"/>
      <c r="Q138" s="1375"/>
      <c r="R138" s="1375"/>
      <c r="S138" s="1375"/>
      <c r="T138" s="1375"/>
      <c r="U138" s="1375"/>
      <c r="V138" s="1375"/>
      <c r="W138" s="1375"/>
      <c r="X138" s="1375"/>
      <c r="Y138" s="1375"/>
      <c r="Z138" s="1375"/>
      <c r="AA138" s="1375"/>
      <c r="AB138" s="1375"/>
      <c r="AC138" s="1375"/>
      <c r="AD138" s="1375"/>
      <c r="AE138" s="1375"/>
      <c r="AF138" s="1375"/>
      <c r="AG138" s="1375"/>
      <c r="AH138" s="1375"/>
      <c r="AI138" s="1375"/>
      <c r="AJ138" s="1375"/>
    </row>
    <row r="139" spans="1:36" s="1372" customFormat="1" ht="13.5" customHeight="1" thickTop="1">
      <c r="A139" s="1429"/>
      <c r="B139" s="1394"/>
      <c r="C139" s="1395"/>
      <c r="D139" s="1396"/>
      <c r="E139" s="1395"/>
      <c r="F139" s="1375"/>
      <c r="M139" s="1375"/>
      <c r="N139" s="1375"/>
      <c r="O139" s="1375"/>
      <c r="P139" s="1375"/>
      <c r="Q139" s="1375"/>
      <c r="R139" s="1375"/>
      <c r="S139" s="1375"/>
      <c r="T139" s="1375"/>
      <c r="U139" s="1375"/>
      <c r="V139" s="1375"/>
      <c r="W139" s="1375"/>
      <c r="X139" s="1375"/>
      <c r="Y139" s="1375"/>
      <c r="Z139" s="1375"/>
      <c r="AA139" s="1375"/>
      <c r="AB139" s="1375"/>
      <c r="AC139" s="1375"/>
      <c r="AD139" s="1375"/>
      <c r="AE139" s="1375"/>
      <c r="AF139" s="1375"/>
      <c r="AG139" s="1375"/>
      <c r="AH139" s="1375"/>
      <c r="AI139" s="1375"/>
      <c r="AJ139" s="1375"/>
    </row>
    <row r="140" spans="1:36" s="1372" customFormat="1" ht="13.5" customHeight="1">
      <c r="A140" s="1429"/>
      <c r="B140" s="1394"/>
      <c r="C140" s="1395"/>
      <c r="D140" s="1396"/>
      <c r="E140" s="1395"/>
      <c r="F140" s="1375"/>
      <c r="M140" s="1375"/>
      <c r="N140" s="1375"/>
      <c r="O140" s="1375"/>
      <c r="P140" s="1375"/>
      <c r="Q140" s="1375"/>
      <c r="R140" s="1375"/>
      <c r="S140" s="1375"/>
      <c r="T140" s="1375"/>
      <c r="U140" s="1375"/>
      <c r="V140" s="1375"/>
      <c r="W140" s="1375"/>
      <c r="X140" s="1375"/>
      <c r="Y140" s="1375"/>
      <c r="Z140" s="1375"/>
      <c r="AA140" s="1375"/>
      <c r="AB140" s="1375"/>
      <c r="AC140" s="1375"/>
      <c r="AD140" s="1375"/>
      <c r="AE140" s="1375"/>
      <c r="AF140" s="1375"/>
      <c r="AG140" s="1375"/>
      <c r="AH140" s="1375"/>
      <c r="AI140" s="1375"/>
      <c r="AJ140" s="1375"/>
    </row>
    <row r="141" spans="1:36" s="1372" customFormat="1">
      <c r="A141" s="1429"/>
      <c r="B141" s="1394"/>
      <c r="C141" s="1395"/>
      <c r="D141" s="1394"/>
      <c r="E141" s="1395"/>
      <c r="F141" s="1312"/>
      <c r="M141" s="1375"/>
      <c r="N141" s="1375"/>
      <c r="O141" s="1375"/>
      <c r="P141" s="1375"/>
      <c r="Q141" s="1375"/>
      <c r="R141" s="1375"/>
      <c r="S141" s="1375"/>
      <c r="T141" s="1375"/>
      <c r="U141" s="1375"/>
      <c r="V141" s="1375"/>
      <c r="W141" s="1375"/>
      <c r="X141" s="1375"/>
      <c r="Y141" s="1375"/>
      <c r="Z141" s="1375"/>
      <c r="AA141" s="1375"/>
      <c r="AB141" s="1375"/>
      <c r="AC141" s="1375"/>
      <c r="AD141" s="1375"/>
      <c r="AE141" s="1375"/>
      <c r="AF141" s="1375"/>
      <c r="AG141" s="1375"/>
      <c r="AH141" s="1375"/>
      <c r="AI141" s="1375"/>
      <c r="AJ141" s="1375"/>
    </row>
    <row r="142" spans="1:36" s="1372" customFormat="1" ht="15" customHeight="1">
      <c r="A142" s="1377" t="s">
        <v>92</v>
      </c>
      <c r="B142" s="1394"/>
      <c r="C142" s="1395"/>
      <c r="D142" s="1394"/>
      <c r="E142" s="1395"/>
      <c r="F142" s="1312"/>
      <c r="G142" s="1377" t="s">
        <v>94</v>
      </c>
      <c r="H142" s="1370"/>
      <c r="I142" s="1386"/>
      <c r="J142" s="1370"/>
      <c r="K142" s="1386"/>
      <c r="M142" s="1375"/>
      <c r="N142" s="1375"/>
      <c r="O142" s="1375"/>
      <c r="P142" s="1375"/>
      <c r="Q142" s="1375"/>
      <c r="R142" s="1375"/>
      <c r="S142" s="1375"/>
      <c r="T142" s="1375"/>
      <c r="U142" s="1375"/>
      <c r="V142" s="1375"/>
      <c r="W142" s="1375"/>
      <c r="X142" s="1375"/>
      <c r="Y142" s="1375"/>
      <c r="Z142" s="1375"/>
      <c r="AA142" s="1375"/>
      <c r="AB142" s="1375"/>
      <c r="AC142" s="1375"/>
      <c r="AD142" s="1375"/>
      <c r="AE142" s="1375"/>
      <c r="AF142" s="1375"/>
      <c r="AG142" s="1375"/>
      <c r="AH142" s="1375"/>
      <c r="AI142" s="1375"/>
      <c r="AJ142" s="1375"/>
    </row>
    <row r="143" spans="1:36" s="1372" customFormat="1" ht="12.75" customHeight="1">
      <c r="A143" s="1430" t="s">
        <v>93</v>
      </c>
      <c r="B143" s="1380" t="s">
        <v>943</v>
      </c>
      <c r="C143" s="1381" t="s">
        <v>1010</v>
      </c>
      <c r="D143" s="1380" t="s">
        <v>1011</v>
      </c>
      <c r="E143" s="1381" t="s">
        <v>1010</v>
      </c>
      <c r="F143" s="1312"/>
      <c r="G143" s="1383" t="s">
        <v>703</v>
      </c>
      <c r="H143" s="1380" t="s">
        <v>943</v>
      </c>
      <c r="I143" s="1381" t="s">
        <v>1010</v>
      </c>
      <c r="J143" s="1380" t="s">
        <v>892</v>
      </c>
      <c r="K143" s="1381" t="s">
        <v>1010</v>
      </c>
      <c r="M143" s="1375"/>
      <c r="N143" s="1375"/>
      <c r="O143" s="1375"/>
      <c r="P143" s="1375"/>
      <c r="Q143" s="1375"/>
      <c r="R143" s="1375"/>
      <c r="S143" s="1375"/>
      <c r="T143" s="1375"/>
      <c r="U143" s="1375"/>
      <c r="V143" s="1375"/>
      <c r="W143" s="1375"/>
      <c r="X143" s="1375"/>
      <c r="Y143" s="1375"/>
      <c r="Z143" s="1375"/>
      <c r="AA143" s="1375"/>
      <c r="AB143" s="1375"/>
      <c r="AC143" s="1375"/>
      <c r="AD143" s="1375"/>
      <c r="AE143" s="1375"/>
      <c r="AF143" s="1375"/>
      <c r="AG143" s="1375"/>
      <c r="AH143" s="1375"/>
      <c r="AI143" s="1375"/>
      <c r="AJ143" s="1375"/>
    </row>
    <row r="144" spans="1:36" s="1372" customFormat="1" ht="15" customHeight="1">
      <c r="A144" s="1426" t="s">
        <v>806</v>
      </c>
      <c r="B144" s="1370">
        <v>200454408.84</v>
      </c>
      <c r="C144" s="1402">
        <v>2.155E-2</v>
      </c>
      <c r="D144" s="1387">
        <v>5104</v>
      </c>
      <c r="E144" s="1402">
        <v>5.6000000000000001E-2</v>
      </c>
      <c r="F144" s="1312"/>
      <c r="G144" s="1384" t="s">
        <v>801</v>
      </c>
      <c r="H144" s="1414">
        <v>451915034.18000001</v>
      </c>
      <c r="I144" s="1415">
        <v>4.8590000000000001E-2</v>
      </c>
      <c r="J144" s="1416">
        <v>13976</v>
      </c>
      <c r="K144" s="1415">
        <v>0.15334999999999999</v>
      </c>
      <c r="M144" s="1375"/>
      <c r="N144" s="1375"/>
      <c r="O144" s="1375"/>
      <c r="P144" s="1375"/>
      <c r="Q144" s="1375"/>
      <c r="R144" s="1375"/>
      <c r="S144" s="1375"/>
      <c r="T144" s="1375"/>
      <c r="U144" s="1375"/>
      <c r="V144" s="1375"/>
      <c r="W144" s="1375"/>
      <c r="X144" s="1375"/>
      <c r="Y144" s="1375"/>
      <c r="Z144" s="1375"/>
      <c r="AA144" s="1375"/>
      <c r="AB144" s="1375"/>
      <c r="AC144" s="1375"/>
      <c r="AD144" s="1375"/>
      <c r="AE144" s="1375"/>
      <c r="AF144" s="1375"/>
      <c r="AG144" s="1375"/>
      <c r="AH144" s="1375"/>
      <c r="AI144" s="1375"/>
      <c r="AJ144" s="1375"/>
    </row>
    <row r="145" spans="1:36" s="1372" customFormat="1" ht="15" customHeight="1">
      <c r="A145" s="1426" t="s">
        <v>894</v>
      </c>
      <c r="B145" s="1370">
        <v>489378435.81999999</v>
      </c>
      <c r="C145" s="1402">
        <v>5.262E-2</v>
      </c>
      <c r="D145" s="1387">
        <v>9362</v>
      </c>
      <c r="E145" s="1402">
        <v>0.10272000000000001</v>
      </c>
      <c r="F145" s="1375"/>
      <c r="G145" s="1384" t="s">
        <v>894</v>
      </c>
      <c r="H145" s="1414">
        <v>702285161.12</v>
      </c>
      <c r="I145" s="1415">
        <v>7.5509999999999994E-2</v>
      </c>
      <c r="J145" s="1416">
        <v>11041</v>
      </c>
      <c r="K145" s="1415">
        <v>0.12114999999999999</v>
      </c>
      <c r="M145" s="1375"/>
      <c r="N145" s="1375"/>
      <c r="O145" s="1375"/>
      <c r="P145" s="1375"/>
      <c r="Q145" s="1375"/>
      <c r="R145" s="1375"/>
      <c r="S145" s="1375"/>
      <c r="T145" s="1375"/>
      <c r="U145" s="1375"/>
      <c r="V145" s="1375"/>
      <c r="W145" s="1375"/>
      <c r="X145" s="1375"/>
      <c r="Y145" s="1375"/>
      <c r="Z145" s="1375"/>
      <c r="AA145" s="1375"/>
      <c r="AB145" s="1375"/>
      <c r="AC145" s="1375"/>
      <c r="AD145" s="1375"/>
      <c r="AE145" s="1375"/>
      <c r="AF145" s="1375"/>
      <c r="AG145" s="1375"/>
      <c r="AH145" s="1375"/>
      <c r="AI145" s="1375"/>
      <c r="AJ145" s="1375"/>
    </row>
    <row r="146" spans="1:36" s="1372" customFormat="1" ht="15" customHeight="1">
      <c r="A146" s="1426" t="s">
        <v>895</v>
      </c>
      <c r="B146" s="1370">
        <v>899307890.27999997</v>
      </c>
      <c r="C146" s="1402">
        <v>9.6689999999999998E-2</v>
      </c>
      <c r="D146" s="1387">
        <v>13146</v>
      </c>
      <c r="E146" s="1402">
        <v>0.14424000000000001</v>
      </c>
      <c r="G146" s="1384" t="s">
        <v>895</v>
      </c>
      <c r="H146" s="1414">
        <v>1044120472.59</v>
      </c>
      <c r="I146" s="1415">
        <v>0.11226</v>
      </c>
      <c r="J146" s="1416">
        <v>12368</v>
      </c>
      <c r="K146" s="1415">
        <v>0.13571</v>
      </c>
      <c r="M146" s="1375"/>
      <c r="N146" s="1375"/>
      <c r="O146" s="1375"/>
      <c r="P146" s="1375"/>
      <c r="Q146" s="1375"/>
      <c r="R146" s="1375"/>
      <c r="S146" s="1375"/>
      <c r="T146" s="1375"/>
      <c r="U146" s="1375"/>
      <c r="V146" s="1375"/>
      <c r="W146" s="1375"/>
      <c r="X146" s="1375"/>
      <c r="Y146" s="1375"/>
      <c r="Z146" s="1375"/>
      <c r="AA146" s="1375"/>
      <c r="AB146" s="1375"/>
      <c r="AC146" s="1375"/>
      <c r="AD146" s="1375"/>
      <c r="AE146" s="1375"/>
      <c r="AF146" s="1375"/>
      <c r="AG146" s="1375"/>
      <c r="AH146" s="1375"/>
      <c r="AI146" s="1375"/>
      <c r="AJ146" s="1375"/>
    </row>
    <row r="147" spans="1:36" s="1372" customFormat="1" ht="15" customHeight="1">
      <c r="A147" s="1426" t="s">
        <v>896</v>
      </c>
      <c r="B147" s="1370">
        <v>1278855467.47</v>
      </c>
      <c r="C147" s="1402">
        <v>0.13750000000000001</v>
      </c>
      <c r="D147" s="1387">
        <v>14619</v>
      </c>
      <c r="E147" s="1402">
        <v>0.16041</v>
      </c>
      <c r="F147" s="1409"/>
      <c r="G147" s="1384" t="s">
        <v>896</v>
      </c>
      <c r="H147" s="1414">
        <v>1296920316.01</v>
      </c>
      <c r="I147" s="1415">
        <v>0.13944000000000001</v>
      </c>
      <c r="J147" s="1416">
        <v>12747</v>
      </c>
      <c r="K147" s="1415">
        <v>0.13986999999999999</v>
      </c>
      <c r="M147" s="1375"/>
      <c r="N147" s="1375"/>
      <c r="O147" s="1375"/>
      <c r="P147" s="1375"/>
      <c r="Q147" s="1375"/>
      <c r="R147" s="1375"/>
      <c r="S147" s="1375"/>
      <c r="T147" s="1375"/>
      <c r="U147" s="1375"/>
      <c r="V147" s="1375"/>
      <c r="W147" s="1375"/>
      <c r="X147" s="1375"/>
      <c r="Y147" s="1375"/>
      <c r="Z147" s="1375"/>
      <c r="AA147" s="1375"/>
      <c r="AB147" s="1375"/>
      <c r="AC147" s="1375"/>
      <c r="AD147" s="1375"/>
      <c r="AE147" s="1375"/>
      <c r="AF147" s="1375"/>
      <c r="AG147" s="1375"/>
      <c r="AH147" s="1375"/>
      <c r="AI147" s="1375"/>
      <c r="AJ147" s="1375"/>
    </row>
    <row r="148" spans="1:36" s="1372" customFormat="1">
      <c r="A148" s="1426" t="s">
        <v>897</v>
      </c>
      <c r="B148" s="1370">
        <v>1766100193.6199999</v>
      </c>
      <c r="C148" s="1402">
        <v>0.18987999999999999</v>
      </c>
      <c r="D148" s="1387">
        <v>15738</v>
      </c>
      <c r="E148" s="1402">
        <v>0.17269000000000001</v>
      </c>
      <c r="F148" s="1374"/>
      <c r="G148" s="1384" t="s">
        <v>897</v>
      </c>
      <c r="H148" s="1414">
        <v>1444924742.3</v>
      </c>
      <c r="I148" s="1415">
        <v>0.15534999999999999</v>
      </c>
      <c r="J148" s="1416">
        <v>11761</v>
      </c>
      <c r="K148" s="1415">
        <v>0.12905</v>
      </c>
      <c r="M148" s="1375"/>
      <c r="N148" s="1375"/>
      <c r="O148" s="1375"/>
      <c r="P148" s="1375"/>
      <c r="Q148" s="1375"/>
      <c r="R148" s="1375"/>
      <c r="S148" s="1375"/>
      <c r="T148" s="1375"/>
      <c r="U148" s="1375"/>
      <c r="V148" s="1375"/>
      <c r="W148" s="1375"/>
      <c r="X148" s="1375"/>
      <c r="Y148" s="1375"/>
      <c r="Z148" s="1375"/>
      <c r="AA148" s="1375"/>
      <c r="AB148" s="1375"/>
      <c r="AC148" s="1375"/>
      <c r="AD148" s="1375"/>
      <c r="AE148" s="1375"/>
      <c r="AF148" s="1375"/>
      <c r="AG148" s="1375"/>
      <c r="AH148" s="1375"/>
      <c r="AI148" s="1375"/>
      <c r="AJ148" s="1375"/>
    </row>
    <row r="149" spans="1:36" s="1372" customFormat="1">
      <c r="A149" s="1426" t="s">
        <v>898</v>
      </c>
      <c r="B149" s="1370">
        <v>1699919369.71</v>
      </c>
      <c r="C149" s="1402">
        <v>0.18276999999999999</v>
      </c>
      <c r="D149" s="1387">
        <v>12992</v>
      </c>
      <c r="E149" s="1402">
        <v>0.14255000000000001</v>
      </c>
      <c r="F149" s="1374"/>
      <c r="G149" s="1384" t="s">
        <v>898</v>
      </c>
      <c r="H149" s="1414">
        <v>1532922292.4200001</v>
      </c>
      <c r="I149" s="1415">
        <v>0.16481000000000001</v>
      </c>
      <c r="J149" s="1416">
        <v>10692</v>
      </c>
      <c r="K149" s="1415">
        <v>0.11731999999999999</v>
      </c>
      <c r="M149" s="1375"/>
      <c r="N149" s="1375"/>
      <c r="O149" s="1375"/>
      <c r="P149" s="1375"/>
      <c r="Q149" s="1375"/>
      <c r="R149" s="1375"/>
      <c r="S149" s="1375"/>
      <c r="T149" s="1375"/>
      <c r="U149" s="1375"/>
      <c r="V149" s="1375"/>
      <c r="W149" s="1375"/>
      <c r="X149" s="1375"/>
      <c r="Y149" s="1375"/>
      <c r="Z149" s="1375"/>
      <c r="AA149" s="1375"/>
      <c r="AB149" s="1375"/>
      <c r="AC149" s="1375"/>
      <c r="AD149" s="1375"/>
      <c r="AE149" s="1375"/>
      <c r="AF149" s="1375"/>
      <c r="AG149" s="1375"/>
      <c r="AH149" s="1375"/>
      <c r="AI149" s="1375"/>
      <c r="AJ149" s="1375"/>
    </row>
    <row r="150" spans="1:36" s="1372" customFormat="1">
      <c r="A150" s="1426" t="s">
        <v>899</v>
      </c>
      <c r="B150" s="1370">
        <v>2105702362.3800001</v>
      </c>
      <c r="C150" s="1402">
        <v>0.22639999999999999</v>
      </c>
      <c r="D150" s="1387">
        <v>14091</v>
      </c>
      <c r="E150" s="1402">
        <v>0.15461</v>
      </c>
      <c r="F150" s="1418"/>
      <c r="G150" s="1384" t="s">
        <v>899</v>
      </c>
      <c r="H150" s="1414">
        <v>1336325699.3399999</v>
      </c>
      <c r="I150" s="1415">
        <v>0.14368</v>
      </c>
      <c r="J150" s="1416">
        <v>8857</v>
      </c>
      <c r="K150" s="1415">
        <v>9.7180000000000002E-2</v>
      </c>
      <c r="M150" s="1375"/>
      <c r="N150" s="1375"/>
      <c r="O150" s="1375"/>
      <c r="P150" s="1375"/>
      <c r="Q150" s="1375"/>
      <c r="R150" s="1375"/>
      <c r="S150" s="1375"/>
      <c r="T150" s="1375"/>
      <c r="U150" s="1375"/>
      <c r="V150" s="1375"/>
      <c r="W150" s="1375"/>
      <c r="X150" s="1375"/>
      <c r="Y150" s="1375"/>
      <c r="Z150" s="1375"/>
      <c r="AA150" s="1375"/>
      <c r="AB150" s="1375"/>
      <c r="AC150" s="1375"/>
      <c r="AD150" s="1375"/>
      <c r="AE150" s="1375"/>
      <c r="AF150" s="1375"/>
      <c r="AG150" s="1375"/>
      <c r="AH150" s="1375"/>
      <c r="AI150" s="1375"/>
      <c r="AJ150" s="1375"/>
    </row>
    <row r="151" spans="1:36" s="1372" customFormat="1">
      <c r="A151" s="1426" t="s">
        <v>900</v>
      </c>
      <c r="B151" s="1370">
        <v>824004388.83000004</v>
      </c>
      <c r="C151" s="1402">
        <v>8.8590000000000002E-2</v>
      </c>
      <c r="D151" s="1387">
        <v>5838</v>
      </c>
      <c r="E151" s="1402">
        <v>6.4060000000000006E-2</v>
      </c>
      <c r="F151" s="1418"/>
      <c r="G151" s="1384" t="s">
        <v>900</v>
      </c>
      <c r="H151" s="1414">
        <v>870098099.27999997</v>
      </c>
      <c r="I151" s="1415">
        <v>9.3549999999999994E-2</v>
      </c>
      <c r="J151" s="1416">
        <v>5573</v>
      </c>
      <c r="K151" s="1415">
        <v>6.1150000000000003E-2</v>
      </c>
      <c r="M151" s="1375"/>
      <c r="N151" s="1375"/>
      <c r="O151" s="1375"/>
      <c r="P151" s="1375"/>
      <c r="Q151" s="1375"/>
      <c r="R151" s="1375"/>
      <c r="S151" s="1375"/>
      <c r="T151" s="1375"/>
      <c r="U151" s="1375"/>
      <c r="V151" s="1375"/>
      <c r="W151" s="1375"/>
      <c r="X151" s="1375"/>
      <c r="Y151" s="1375"/>
      <c r="Z151" s="1375"/>
      <c r="AA151" s="1375"/>
      <c r="AB151" s="1375"/>
      <c r="AC151" s="1375"/>
      <c r="AD151" s="1375"/>
      <c r="AE151" s="1375"/>
      <c r="AF151" s="1375"/>
      <c r="AG151" s="1375"/>
      <c r="AH151" s="1375"/>
      <c r="AI151" s="1375"/>
      <c r="AJ151" s="1375"/>
    </row>
    <row r="152" spans="1:36" s="1372" customFormat="1">
      <c r="A152" s="1426" t="s">
        <v>802</v>
      </c>
      <c r="B152" s="1370">
        <v>37272521.359999999</v>
      </c>
      <c r="C152" s="1402">
        <v>4.0099999999999997E-3</v>
      </c>
      <c r="D152" s="1387">
        <v>247</v>
      </c>
      <c r="E152" s="1402">
        <v>2.7100000000000002E-3</v>
      </c>
      <c r="G152" s="1384" t="s">
        <v>802</v>
      </c>
      <c r="H152" s="1414">
        <v>621483221.07000005</v>
      </c>
      <c r="I152" s="1415">
        <v>6.6820000000000004E-2</v>
      </c>
      <c r="J152" s="1416">
        <v>4122</v>
      </c>
      <c r="K152" s="1415">
        <v>4.5229999999999999E-2</v>
      </c>
      <c r="M152" s="1375"/>
      <c r="N152" s="1375"/>
      <c r="O152" s="1375"/>
      <c r="P152" s="1375"/>
      <c r="Q152" s="1375"/>
      <c r="R152" s="1375"/>
      <c r="S152" s="1375"/>
      <c r="T152" s="1375"/>
      <c r="U152" s="1375"/>
      <c r="V152" s="1375"/>
      <c r="W152" s="1375"/>
      <c r="X152" s="1375"/>
      <c r="Y152" s="1375"/>
      <c r="Z152" s="1375"/>
      <c r="AA152" s="1375"/>
      <c r="AB152" s="1375"/>
      <c r="AC152" s="1375"/>
      <c r="AD152" s="1375"/>
      <c r="AE152" s="1375"/>
      <c r="AF152" s="1375"/>
      <c r="AG152" s="1375"/>
      <c r="AH152" s="1375"/>
      <c r="AI152" s="1375"/>
      <c r="AJ152" s="1375"/>
    </row>
    <row r="153" spans="1:36" s="1372" customFormat="1" ht="13.5" thickBot="1">
      <c r="A153" s="1392" t="s">
        <v>803</v>
      </c>
      <c r="B153" s="1393">
        <v>9300995038.3100014</v>
      </c>
      <c r="C153" s="1390">
        <v>1.0000100000000001</v>
      </c>
      <c r="D153" s="1391">
        <v>91137</v>
      </c>
      <c r="E153" s="1390">
        <v>0.99999000000000005</v>
      </c>
      <c r="G153" s="1392" t="s">
        <v>803</v>
      </c>
      <c r="H153" s="1393">
        <v>9300995038.3099995</v>
      </c>
      <c r="I153" s="1390">
        <v>1.0000100000000001</v>
      </c>
      <c r="J153" s="1391">
        <v>91137</v>
      </c>
      <c r="K153" s="1390">
        <v>1.0000100000000001</v>
      </c>
      <c r="M153" s="1375"/>
      <c r="N153" s="1375"/>
      <c r="O153" s="1375"/>
      <c r="P153" s="1375"/>
      <c r="Q153" s="1375"/>
      <c r="R153" s="1375"/>
      <c r="S153" s="1375"/>
      <c r="T153" s="1375"/>
      <c r="U153" s="1375"/>
      <c r="V153" s="1375"/>
      <c r="W153" s="1375"/>
      <c r="X153" s="1375"/>
      <c r="Y153" s="1375"/>
      <c r="Z153" s="1375"/>
      <c r="AA153" s="1375"/>
      <c r="AB153" s="1375"/>
      <c r="AC153" s="1375"/>
      <c r="AD153" s="1375"/>
      <c r="AE153" s="1375"/>
      <c r="AF153" s="1375"/>
      <c r="AG153" s="1375"/>
      <c r="AH153" s="1375"/>
      <c r="AI153" s="1375"/>
      <c r="AJ153" s="1375"/>
    </row>
    <row r="154" spans="1:36" s="1372" customFormat="1" ht="12" customHeight="1" thickTop="1">
      <c r="A154" s="1404"/>
      <c r="B154" s="1419"/>
      <c r="C154" s="1395"/>
      <c r="D154" s="1400"/>
      <c r="E154" s="1395"/>
      <c r="M154" s="1375"/>
      <c r="N154" s="1375"/>
      <c r="O154" s="1375"/>
      <c r="P154" s="1375"/>
      <c r="Q154" s="1375"/>
      <c r="R154" s="1375"/>
      <c r="S154" s="1375"/>
      <c r="T154" s="1375"/>
      <c r="U154" s="1375"/>
      <c r="V154" s="1375"/>
      <c r="W154" s="1375"/>
      <c r="X154" s="1375"/>
      <c r="Y154" s="1375"/>
      <c r="Z154" s="1375"/>
      <c r="AA154" s="1375"/>
      <c r="AB154" s="1375"/>
      <c r="AC154" s="1375"/>
      <c r="AD154" s="1375"/>
      <c r="AE154" s="1375"/>
      <c r="AF154" s="1375"/>
      <c r="AG154" s="1375"/>
      <c r="AH154" s="1375"/>
      <c r="AI154" s="1375"/>
      <c r="AJ154" s="1375"/>
    </row>
    <row r="155" spans="1:36" s="1372" customFormat="1">
      <c r="A155" s="1420"/>
      <c r="B155" s="1370"/>
      <c r="C155" s="1386"/>
      <c r="D155" s="1370"/>
      <c r="E155" s="1386"/>
      <c r="M155" s="1375"/>
      <c r="N155" s="1375"/>
      <c r="O155" s="1375"/>
      <c r="P155" s="1375"/>
      <c r="Q155" s="1375"/>
      <c r="R155" s="1375"/>
      <c r="S155" s="1375"/>
      <c r="T155" s="1375"/>
      <c r="U155" s="1375"/>
      <c r="V155" s="1375"/>
      <c r="W155" s="1375"/>
      <c r="X155" s="1375"/>
      <c r="Y155" s="1375"/>
      <c r="Z155" s="1375"/>
      <c r="AA155" s="1375"/>
      <c r="AB155" s="1375"/>
      <c r="AC155" s="1375"/>
      <c r="AD155" s="1375"/>
      <c r="AE155" s="1375"/>
      <c r="AF155" s="1375"/>
      <c r="AG155" s="1375"/>
      <c r="AH155" s="1375"/>
      <c r="AI155" s="1375"/>
      <c r="AJ155" s="1375"/>
    </row>
    <row r="156" spans="1:36" s="1372" customFormat="1">
      <c r="A156" s="1431"/>
      <c r="B156" s="1394"/>
      <c r="C156" s="1395"/>
      <c r="D156" s="1396"/>
      <c r="E156" s="1395"/>
      <c r="M156" s="1375"/>
      <c r="N156" s="1375"/>
      <c r="O156" s="1375"/>
      <c r="P156" s="1375"/>
      <c r="Q156" s="1375"/>
      <c r="R156" s="1375"/>
      <c r="S156" s="1375"/>
      <c r="T156" s="1375"/>
      <c r="U156" s="1375"/>
      <c r="V156" s="1375"/>
      <c r="W156" s="1375"/>
      <c r="X156" s="1375"/>
      <c r="Y156" s="1375"/>
      <c r="Z156" s="1375"/>
      <c r="AA156" s="1375"/>
      <c r="AB156" s="1375"/>
      <c r="AC156" s="1375"/>
      <c r="AD156" s="1375"/>
      <c r="AE156" s="1375"/>
      <c r="AF156" s="1375"/>
      <c r="AG156" s="1375"/>
      <c r="AH156" s="1375"/>
      <c r="AI156" s="1375"/>
      <c r="AJ156" s="1375"/>
    </row>
    <row r="157" spans="1:36" s="1372" customFormat="1" ht="15.75">
      <c r="A157" s="1377" t="s">
        <v>939</v>
      </c>
      <c r="B157" s="1394"/>
      <c r="C157" s="1395"/>
      <c r="D157" s="1396"/>
      <c r="E157" s="1395"/>
      <c r="G157" s="1377" t="s">
        <v>581</v>
      </c>
      <c r="J157" s="1373"/>
      <c r="M157" s="1375"/>
      <c r="N157" s="1375"/>
      <c r="O157" s="1375"/>
      <c r="P157" s="1375"/>
      <c r="Q157" s="1375"/>
      <c r="R157" s="1375"/>
      <c r="S157" s="1375"/>
      <c r="T157" s="1375"/>
      <c r="U157" s="1375"/>
      <c r="V157" s="1375"/>
      <c r="W157" s="1375"/>
      <c r="X157" s="1375"/>
      <c r="Y157" s="1375"/>
      <c r="Z157" s="1375"/>
      <c r="AA157" s="1375"/>
      <c r="AB157" s="1375"/>
      <c r="AC157" s="1375"/>
      <c r="AD157" s="1375"/>
      <c r="AE157" s="1375"/>
      <c r="AF157" s="1375"/>
      <c r="AG157" s="1375"/>
      <c r="AH157" s="1375"/>
      <c r="AI157" s="1375"/>
      <c r="AJ157" s="1375"/>
    </row>
    <row r="158" spans="1:36" s="1411" customFormat="1" ht="25.5">
      <c r="A158" s="1424" t="s">
        <v>620</v>
      </c>
      <c r="B158" s="1380" t="s">
        <v>943</v>
      </c>
      <c r="C158" s="1381" t="s">
        <v>1010</v>
      </c>
      <c r="D158" s="1425" t="s">
        <v>1011</v>
      </c>
      <c r="E158" s="1381" t="s">
        <v>1010</v>
      </c>
      <c r="G158" s="1379" t="s">
        <v>582</v>
      </c>
      <c r="H158" s="1380" t="s">
        <v>943</v>
      </c>
      <c r="I158" s="1381" t="s">
        <v>1010</v>
      </c>
      <c r="J158" s="1380" t="s">
        <v>1011</v>
      </c>
      <c r="K158" s="1381" t="s">
        <v>1010</v>
      </c>
      <c r="M158" s="1412"/>
      <c r="N158" s="1412"/>
      <c r="O158" s="1412"/>
      <c r="P158" s="1412"/>
      <c r="Q158" s="1412"/>
      <c r="R158" s="1412"/>
      <c r="S158" s="1412"/>
      <c r="T158" s="1412"/>
      <c r="U158" s="1412"/>
      <c r="V158" s="1412"/>
      <c r="W158" s="1412"/>
      <c r="X158" s="1412"/>
      <c r="Y158" s="1412"/>
      <c r="Z158" s="1412"/>
      <c r="AA158" s="1412"/>
      <c r="AB158" s="1412"/>
      <c r="AC158" s="1412"/>
      <c r="AD158" s="1412"/>
      <c r="AE158" s="1412"/>
      <c r="AF158" s="1412"/>
      <c r="AG158" s="1412"/>
      <c r="AH158" s="1412"/>
      <c r="AI158" s="1412"/>
      <c r="AJ158" s="1412"/>
    </row>
    <row r="159" spans="1:36" s="1372" customFormat="1">
      <c r="A159" s="1426" t="s">
        <v>149</v>
      </c>
      <c r="B159" s="1370">
        <v>697584939.58000004</v>
      </c>
      <c r="C159" s="1402">
        <v>7.4999999999999997E-2</v>
      </c>
      <c r="D159" s="1387">
        <v>22760</v>
      </c>
      <c r="E159" s="1402">
        <v>0.24973000000000001</v>
      </c>
      <c r="G159" s="1426" t="s">
        <v>149</v>
      </c>
      <c r="H159" s="1414">
        <v>230089180.56999999</v>
      </c>
      <c r="I159" s="1415">
        <v>2.4740000000000002E-2</v>
      </c>
      <c r="J159" s="1416">
        <v>8760</v>
      </c>
      <c r="K159" s="1415">
        <v>9.6119999999999997E-2</v>
      </c>
      <c r="M159" s="1375"/>
      <c r="N159" s="1375"/>
      <c r="O159" s="1375"/>
      <c r="P159" s="1375"/>
      <c r="Q159" s="1375"/>
      <c r="R159" s="1375"/>
      <c r="S159" s="1375"/>
      <c r="T159" s="1375"/>
      <c r="U159" s="1375"/>
      <c r="V159" s="1375"/>
      <c r="W159" s="1375"/>
      <c r="X159" s="1375"/>
      <c r="Y159" s="1375"/>
      <c r="Z159" s="1375"/>
      <c r="AA159" s="1375"/>
      <c r="AB159" s="1375"/>
      <c r="AC159" s="1375"/>
      <c r="AD159" s="1375"/>
      <c r="AE159" s="1375"/>
      <c r="AF159" s="1375"/>
      <c r="AG159" s="1375"/>
      <c r="AH159" s="1375"/>
      <c r="AI159" s="1375"/>
      <c r="AJ159" s="1375"/>
    </row>
    <row r="160" spans="1:36" s="1372" customFormat="1">
      <c r="A160" s="1426" t="s">
        <v>978</v>
      </c>
      <c r="B160" s="1370">
        <v>2443382172.5500002</v>
      </c>
      <c r="C160" s="1402">
        <v>0.26269999999999999</v>
      </c>
      <c r="D160" s="1387">
        <v>33209</v>
      </c>
      <c r="E160" s="1402">
        <v>0.36438999999999999</v>
      </c>
      <c r="G160" s="1426" t="s">
        <v>978</v>
      </c>
      <c r="H160" s="1414">
        <v>1991794659.23</v>
      </c>
      <c r="I160" s="1415">
        <v>0.21415000000000001</v>
      </c>
      <c r="J160" s="1416">
        <v>34762</v>
      </c>
      <c r="K160" s="1415">
        <v>0.38142999999999999</v>
      </c>
      <c r="M160" s="1375"/>
      <c r="N160" s="1375"/>
      <c r="O160" s="1375"/>
      <c r="P160" s="1375"/>
      <c r="Q160" s="1375"/>
      <c r="R160" s="1375"/>
      <c r="S160" s="1375"/>
      <c r="T160" s="1375"/>
      <c r="U160" s="1375"/>
      <c r="V160" s="1375"/>
      <c r="W160" s="1375"/>
      <c r="X160" s="1375"/>
      <c r="Y160" s="1375"/>
      <c r="Z160" s="1375"/>
      <c r="AA160" s="1375"/>
      <c r="AB160" s="1375"/>
      <c r="AC160" s="1375"/>
      <c r="AD160" s="1375"/>
      <c r="AE160" s="1375"/>
      <c r="AF160" s="1375"/>
      <c r="AG160" s="1375"/>
      <c r="AH160" s="1375"/>
      <c r="AI160" s="1375"/>
      <c r="AJ160" s="1375"/>
    </row>
    <row r="161" spans="1:256" s="1372" customFormat="1">
      <c r="A161" s="1426" t="s">
        <v>95</v>
      </c>
      <c r="B161" s="1370">
        <v>2297103459.6100001</v>
      </c>
      <c r="C161" s="1402">
        <v>0.24697</v>
      </c>
      <c r="D161" s="1387">
        <v>18809</v>
      </c>
      <c r="E161" s="1402">
        <v>0.20638000000000001</v>
      </c>
      <c r="G161" s="1426" t="s">
        <v>95</v>
      </c>
      <c r="H161" s="1414">
        <v>2442378877.8499999</v>
      </c>
      <c r="I161" s="1415">
        <v>0.26258999999999999</v>
      </c>
      <c r="J161" s="1416">
        <v>24363</v>
      </c>
      <c r="K161" s="1415">
        <v>0.26732</v>
      </c>
      <c r="M161" s="1375"/>
      <c r="N161" s="1375"/>
      <c r="O161" s="1375"/>
      <c r="P161" s="1375"/>
      <c r="Q161" s="1375"/>
      <c r="R161" s="1375"/>
      <c r="S161" s="1375"/>
      <c r="T161" s="1375"/>
      <c r="U161" s="1375"/>
      <c r="V161" s="1375"/>
      <c r="W161" s="1375"/>
      <c r="X161" s="1375"/>
      <c r="Y161" s="1375"/>
      <c r="Z161" s="1375"/>
      <c r="AA161" s="1375"/>
      <c r="AB161" s="1375"/>
      <c r="AC161" s="1375"/>
      <c r="AD161" s="1375"/>
      <c r="AE161" s="1375"/>
      <c r="AF161" s="1375"/>
      <c r="AG161" s="1375"/>
      <c r="AH161" s="1375"/>
      <c r="AI161" s="1375"/>
      <c r="AJ161" s="1375"/>
    </row>
    <row r="162" spans="1:256" s="1372" customFormat="1">
      <c r="A162" s="1426" t="s">
        <v>569</v>
      </c>
      <c r="B162" s="1370">
        <v>1419989306.28</v>
      </c>
      <c r="C162" s="1402">
        <v>0.15267</v>
      </c>
      <c r="D162" s="1387">
        <v>8285</v>
      </c>
      <c r="E162" s="1402">
        <v>9.0910000000000005E-2</v>
      </c>
      <c r="G162" s="1426" t="s">
        <v>569</v>
      </c>
      <c r="H162" s="1414">
        <v>1680634941.75</v>
      </c>
      <c r="I162" s="1415">
        <v>0.18068999999999999</v>
      </c>
      <c r="J162" s="1416">
        <v>11705</v>
      </c>
      <c r="K162" s="1415">
        <v>0.12842999999999999</v>
      </c>
      <c r="M162" s="1375"/>
      <c r="N162" s="1375"/>
      <c r="O162" s="1375"/>
      <c r="P162" s="1375"/>
      <c r="Q162" s="1375"/>
      <c r="R162" s="1375"/>
      <c r="S162" s="1375"/>
      <c r="T162" s="1375"/>
      <c r="U162" s="1375"/>
      <c r="V162" s="1375"/>
      <c r="W162" s="1375"/>
      <c r="X162" s="1375"/>
      <c r="Y162" s="1375"/>
      <c r="Z162" s="1375"/>
      <c r="AA162" s="1375"/>
      <c r="AB162" s="1375"/>
      <c r="AC162" s="1375"/>
      <c r="AD162" s="1375"/>
      <c r="AE162" s="1375"/>
      <c r="AF162" s="1375"/>
      <c r="AG162" s="1375"/>
      <c r="AH162" s="1375"/>
      <c r="AI162" s="1375"/>
      <c r="AJ162" s="1375"/>
    </row>
    <row r="163" spans="1:256" s="1372" customFormat="1">
      <c r="A163" s="1426" t="s">
        <v>570</v>
      </c>
      <c r="B163" s="1370">
        <v>782757042.34000003</v>
      </c>
      <c r="C163" s="1402">
        <v>8.4159999999999999E-2</v>
      </c>
      <c r="D163" s="1387">
        <v>3519</v>
      </c>
      <c r="E163" s="1402">
        <v>3.8609999999999998E-2</v>
      </c>
      <c r="G163" s="1426" t="s">
        <v>570</v>
      </c>
      <c r="H163" s="1414">
        <v>972359859</v>
      </c>
      <c r="I163" s="1415">
        <v>0.10453999999999999</v>
      </c>
      <c r="J163" s="1416">
        <v>5186</v>
      </c>
      <c r="K163" s="1415">
        <v>5.6899999999999999E-2</v>
      </c>
      <c r="M163" s="1375"/>
      <c r="N163" s="1375"/>
      <c r="O163" s="1375"/>
      <c r="P163" s="1375"/>
      <c r="Q163" s="1375"/>
      <c r="R163" s="1375"/>
      <c r="S163" s="1375"/>
      <c r="T163" s="1375"/>
      <c r="U163" s="1375"/>
      <c r="V163" s="1375"/>
      <c r="W163" s="1375"/>
      <c r="X163" s="1375"/>
      <c r="Y163" s="1375"/>
      <c r="Z163" s="1375"/>
      <c r="AA163" s="1375"/>
      <c r="AB163" s="1375"/>
      <c r="AC163" s="1375"/>
      <c r="AD163" s="1375"/>
      <c r="AE163" s="1375"/>
      <c r="AF163" s="1375"/>
      <c r="AG163" s="1375"/>
      <c r="AH163" s="1375"/>
      <c r="AI163" s="1375"/>
      <c r="AJ163" s="1375"/>
    </row>
    <row r="164" spans="1:256" s="1372" customFormat="1">
      <c r="A164" s="1426" t="s">
        <v>571</v>
      </c>
      <c r="B164" s="1370">
        <v>481260850.31999999</v>
      </c>
      <c r="C164" s="1402">
        <v>5.1740000000000001E-2</v>
      </c>
      <c r="D164" s="1387">
        <v>1760</v>
      </c>
      <c r="E164" s="1402">
        <v>1.9310000000000001E-2</v>
      </c>
      <c r="F164" s="1374"/>
      <c r="G164" s="1426" t="s">
        <v>571</v>
      </c>
      <c r="H164" s="1414">
        <v>587785327.97000003</v>
      </c>
      <c r="I164" s="1415">
        <v>6.3200000000000006E-2</v>
      </c>
      <c r="J164" s="1416">
        <v>2533</v>
      </c>
      <c r="K164" s="1415">
        <v>2.7789999999999999E-2</v>
      </c>
      <c r="M164" s="1375"/>
      <c r="N164" s="1375"/>
      <c r="O164" s="1375"/>
      <c r="P164" s="1375"/>
      <c r="Q164" s="1375"/>
      <c r="R164" s="1375"/>
      <c r="S164" s="1375"/>
      <c r="T164" s="1375"/>
      <c r="U164" s="1375"/>
      <c r="V164" s="1375"/>
      <c r="W164" s="1375"/>
      <c r="X164" s="1375"/>
      <c r="Y164" s="1375"/>
      <c r="Z164" s="1375"/>
      <c r="AA164" s="1375"/>
      <c r="AB164" s="1375"/>
      <c r="AC164" s="1375"/>
      <c r="AD164" s="1375"/>
      <c r="AE164" s="1375"/>
      <c r="AF164" s="1375"/>
      <c r="AG164" s="1375"/>
      <c r="AH164" s="1375"/>
      <c r="AI164" s="1375"/>
      <c r="AJ164" s="1375"/>
    </row>
    <row r="165" spans="1:256" s="1372" customFormat="1">
      <c r="A165" s="1426" t="s">
        <v>572</v>
      </c>
      <c r="B165" s="1370">
        <v>322557961.58999997</v>
      </c>
      <c r="C165" s="1402">
        <v>3.4680000000000002E-2</v>
      </c>
      <c r="D165" s="1387">
        <v>1001</v>
      </c>
      <c r="E165" s="1402">
        <v>1.098E-2</v>
      </c>
      <c r="F165" s="1374"/>
      <c r="G165" s="1426" t="s">
        <v>572</v>
      </c>
      <c r="H165" s="1414">
        <v>382189559.88999999</v>
      </c>
      <c r="I165" s="1415">
        <v>4.1090000000000002E-2</v>
      </c>
      <c r="J165" s="1416">
        <v>1378</v>
      </c>
      <c r="K165" s="1415">
        <v>1.512E-2</v>
      </c>
      <c r="M165" s="1375"/>
      <c r="N165" s="1375"/>
      <c r="O165" s="1375"/>
      <c r="P165" s="1375"/>
      <c r="Q165" s="1375"/>
      <c r="R165" s="1375"/>
      <c r="S165" s="1375"/>
      <c r="T165" s="1375"/>
      <c r="U165" s="1375"/>
      <c r="V165" s="1375"/>
      <c r="W165" s="1375"/>
      <c r="X165" s="1375"/>
      <c r="Y165" s="1375"/>
      <c r="Z165" s="1375"/>
      <c r="AA165" s="1375"/>
      <c r="AB165" s="1375"/>
      <c r="AC165" s="1375"/>
      <c r="AD165" s="1375"/>
      <c r="AE165" s="1375"/>
      <c r="AF165" s="1375"/>
      <c r="AG165" s="1375"/>
      <c r="AH165" s="1375"/>
      <c r="AI165" s="1375"/>
      <c r="AJ165" s="1375"/>
    </row>
    <row r="166" spans="1:256" s="1372" customFormat="1">
      <c r="A166" s="1426" t="s">
        <v>573</v>
      </c>
      <c r="B166" s="1370">
        <v>219720969.71000001</v>
      </c>
      <c r="C166" s="1402">
        <v>2.3619999999999999E-2</v>
      </c>
      <c r="D166" s="1387">
        <v>590</v>
      </c>
      <c r="E166" s="1402">
        <v>6.4700000000000001E-3</v>
      </c>
      <c r="F166" s="1374"/>
      <c r="G166" s="1426" t="s">
        <v>573</v>
      </c>
      <c r="H166" s="1414">
        <v>264004986.91</v>
      </c>
      <c r="I166" s="1415">
        <v>2.8379999999999999E-2</v>
      </c>
      <c r="J166" s="1416">
        <v>828</v>
      </c>
      <c r="K166" s="1415">
        <v>9.0900000000000009E-3</v>
      </c>
      <c r="M166" s="1375"/>
      <c r="N166" s="1375"/>
      <c r="O166" s="1375"/>
      <c r="P166" s="1375"/>
      <c r="Q166" s="1375"/>
      <c r="R166" s="1375"/>
      <c r="S166" s="1375"/>
      <c r="T166" s="1375"/>
      <c r="U166" s="1375"/>
      <c r="V166" s="1375"/>
      <c r="W166" s="1375"/>
      <c r="X166" s="1375"/>
      <c r="Y166" s="1375"/>
      <c r="Z166" s="1375"/>
      <c r="AA166" s="1375"/>
      <c r="AB166" s="1375"/>
      <c r="AC166" s="1375"/>
      <c r="AD166" s="1375"/>
      <c r="AE166" s="1375"/>
      <c r="AF166" s="1375"/>
      <c r="AG166" s="1375"/>
      <c r="AH166" s="1375"/>
      <c r="AI166" s="1375"/>
      <c r="AJ166" s="1375"/>
    </row>
    <row r="167" spans="1:256" s="1372" customFormat="1">
      <c r="A167" s="1426" t="s">
        <v>574</v>
      </c>
      <c r="B167" s="1370">
        <v>170958622.77000001</v>
      </c>
      <c r="C167" s="1402">
        <v>1.8380000000000001E-2</v>
      </c>
      <c r="D167" s="1387">
        <v>404</v>
      </c>
      <c r="E167" s="1402">
        <v>4.4299999999999999E-3</v>
      </c>
      <c r="F167" s="1374"/>
      <c r="G167" s="1426" t="s">
        <v>574</v>
      </c>
      <c r="H167" s="1414">
        <v>190095841.30000001</v>
      </c>
      <c r="I167" s="1415">
        <v>2.044E-2</v>
      </c>
      <c r="J167" s="1416">
        <v>521</v>
      </c>
      <c r="K167" s="1415">
        <v>5.7200000000000003E-3</v>
      </c>
      <c r="M167" s="1375"/>
      <c r="N167" s="1375"/>
      <c r="O167" s="1375"/>
      <c r="P167" s="1375"/>
      <c r="Q167" s="1375"/>
      <c r="R167" s="1375"/>
      <c r="S167" s="1375"/>
      <c r="T167" s="1375"/>
      <c r="U167" s="1375"/>
      <c r="V167" s="1375"/>
      <c r="W167" s="1375"/>
      <c r="X167" s="1375"/>
      <c r="Y167" s="1375"/>
      <c r="Z167" s="1375"/>
      <c r="AA167" s="1375"/>
      <c r="AB167" s="1375"/>
      <c r="AC167" s="1375"/>
      <c r="AD167" s="1375"/>
      <c r="AE167" s="1375"/>
      <c r="AF167" s="1375"/>
      <c r="AG167" s="1375"/>
      <c r="AH167" s="1375"/>
      <c r="AI167" s="1375"/>
      <c r="AJ167" s="1375"/>
    </row>
    <row r="168" spans="1:256" s="1372" customFormat="1">
      <c r="A168" s="1426" t="s">
        <v>575</v>
      </c>
      <c r="B168" s="1370">
        <v>135815984.31999999</v>
      </c>
      <c r="C168" s="1402">
        <v>1.46E-2</v>
      </c>
      <c r="D168" s="1387">
        <v>285</v>
      </c>
      <c r="E168" s="1402">
        <v>3.13E-3</v>
      </c>
      <c r="F168" s="1374"/>
      <c r="G168" s="1426" t="s">
        <v>575</v>
      </c>
      <c r="H168" s="1414">
        <v>172295744.24000001</v>
      </c>
      <c r="I168" s="1415">
        <v>1.8519999999999998E-2</v>
      </c>
      <c r="J168" s="1416">
        <v>413</v>
      </c>
      <c r="K168" s="1415">
        <v>4.5300000000000002E-3</v>
      </c>
      <c r="M168" s="1432"/>
      <c r="N168" s="1432"/>
      <c r="O168" s="1432"/>
      <c r="P168" s="1432"/>
      <c r="Q168" s="1432"/>
      <c r="R168" s="1432"/>
      <c r="S168" s="1432"/>
      <c r="T168" s="1432"/>
      <c r="U168" s="1432"/>
      <c r="V168" s="1432"/>
      <c r="W168" s="1432"/>
      <c r="X168" s="1432"/>
      <c r="Y168" s="1432"/>
      <c r="Z168" s="1432"/>
      <c r="AA168" s="1432"/>
      <c r="AB168" s="1432"/>
      <c r="AC168" s="1432"/>
      <c r="AD168" s="1432"/>
      <c r="AE168" s="1432"/>
      <c r="AF168" s="1432"/>
      <c r="AG168" s="1432"/>
      <c r="AH168" s="1432"/>
      <c r="AI168" s="1432"/>
      <c r="AJ168" s="1432"/>
      <c r="AK168" s="1433"/>
      <c r="AL168" s="1433"/>
      <c r="AM168" s="1433"/>
      <c r="AN168" s="1433"/>
      <c r="AO168" s="1433"/>
      <c r="AP168" s="1433"/>
      <c r="AQ168" s="1433"/>
      <c r="AR168" s="1433"/>
      <c r="AS168" s="1433"/>
      <c r="AT168" s="1433"/>
      <c r="AU168" s="1433"/>
      <c r="AV168" s="1433"/>
      <c r="AW168" s="1433"/>
      <c r="AX168" s="1433"/>
      <c r="AY168" s="1433"/>
      <c r="AZ168" s="1433"/>
      <c r="BA168" s="1433"/>
      <c r="BB168" s="1433"/>
      <c r="BC168" s="1433"/>
      <c r="BD168" s="1433"/>
      <c r="BE168" s="1433"/>
      <c r="BF168" s="1433"/>
      <c r="BG168" s="1433"/>
      <c r="BH168" s="1433"/>
      <c r="BI168" s="1433"/>
      <c r="BJ168" s="1433"/>
      <c r="BK168" s="1433"/>
      <c r="BL168" s="1433"/>
      <c r="BM168" s="1433"/>
      <c r="BN168" s="1433"/>
      <c r="BO168" s="1433"/>
      <c r="BP168" s="1433"/>
      <c r="BQ168" s="1433"/>
      <c r="BR168" s="1433"/>
      <c r="BS168" s="1433"/>
      <c r="BT168" s="1433"/>
      <c r="BU168" s="1433"/>
      <c r="BV168" s="1433"/>
      <c r="BW168" s="1433"/>
      <c r="BX168" s="1433"/>
      <c r="BY168" s="1433"/>
      <c r="BZ168" s="1433"/>
      <c r="CA168" s="1433"/>
      <c r="CB168" s="1433"/>
      <c r="CC168" s="1433"/>
      <c r="CD168" s="1433"/>
      <c r="CE168" s="1433"/>
      <c r="CF168" s="1433"/>
      <c r="CG168" s="1433"/>
      <c r="CH168" s="1433"/>
      <c r="CI168" s="1433"/>
      <c r="CJ168" s="1433"/>
      <c r="CK168" s="1433"/>
      <c r="CL168" s="1433"/>
      <c r="CM168" s="1433"/>
      <c r="CN168" s="1433"/>
      <c r="CO168" s="1433"/>
      <c r="CP168" s="1433"/>
      <c r="CQ168" s="1433"/>
      <c r="CR168" s="1433"/>
      <c r="CS168" s="1433"/>
      <c r="CT168" s="1433"/>
      <c r="CU168" s="1433"/>
      <c r="CV168" s="1433"/>
      <c r="CW168" s="1433"/>
      <c r="CX168" s="1433"/>
      <c r="CY168" s="1433"/>
      <c r="CZ168" s="1433"/>
      <c r="DA168" s="1433"/>
      <c r="DB168" s="1433"/>
      <c r="DC168" s="1433"/>
      <c r="DD168" s="1433"/>
      <c r="DE168" s="1433"/>
      <c r="DF168" s="1433"/>
      <c r="DG168" s="1433"/>
      <c r="DH168" s="1433"/>
      <c r="DI168" s="1433"/>
      <c r="DJ168" s="1433"/>
      <c r="DK168" s="1433"/>
      <c r="DL168" s="1433"/>
      <c r="DM168" s="1433"/>
      <c r="DN168" s="1433"/>
      <c r="DO168" s="1433"/>
      <c r="DP168" s="1433"/>
      <c r="DQ168" s="1433"/>
      <c r="DR168" s="1433"/>
      <c r="DS168" s="1433"/>
      <c r="DT168" s="1433"/>
      <c r="DU168" s="1433"/>
      <c r="DV168" s="1433"/>
      <c r="DW168" s="1433"/>
      <c r="DX168" s="1433"/>
      <c r="DY168" s="1433"/>
      <c r="DZ168" s="1433"/>
      <c r="EA168" s="1433"/>
      <c r="EB168" s="1433"/>
      <c r="EC168" s="1433"/>
      <c r="ED168" s="1433"/>
      <c r="EE168" s="1433"/>
      <c r="EF168" s="1433"/>
      <c r="EG168" s="1433"/>
      <c r="EH168" s="1433"/>
      <c r="EI168" s="1433"/>
      <c r="EJ168" s="1433"/>
      <c r="EK168" s="1433"/>
      <c r="EL168" s="1433"/>
      <c r="EM168" s="1433"/>
      <c r="EN168" s="1433"/>
      <c r="EO168" s="1433"/>
      <c r="EP168" s="1433"/>
      <c r="EQ168" s="1433"/>
      <c r="ER168" s="1433"/>
      <c r="ES168" s="1433"/>
      <c r="ET168" s="1433"/>
      <c r="EU168" s="1433"/>
      <c r="EV168" s="1433"/>
      <c r="EW168" s="1433"/>
      <c r="EX168" s="1433"/>
      <c r="EY168" s="1433"/>
      <c r="EZ168" s="1433"/>
      <c r="FA168" s="1433"/>
      <c r="FB168" s="1433"/>
      <c r="FC168" s="1433"/>
      <c r="FD168" s="1433"/>
      <c r="FE168" s="1433"/>
      <c r="FF168" s="1433"/>
      <c r="FG168" s="1433"/>
      <c r="FH168" s="1433"/>
      <c r="FI168" s="1433"/>
      <c r="FJ168" s="1433"/>
      <c r="FK168" s="1433"/>
      <c r="FL168" s="1433"/>
      <c r="FM168" s="1433"/>
      <c r="FN168" s="1433"/>
      <c r="FO168" s="1433"/>
      <c r="FP168" s="1433"/>
      <c r="FQ168" s="1433"/>
      <c r="FR168" s="1433"/>
      <c r="FS168" s="1433"/>
      <c r="FT168" s="1433"/>
      <c r="FU168" s="1433"/>
      <c r="FV168" s="1433"/>
      <c r="FW168" s="1433"/>
      <c r="FX168" s="1433"/>
      <c r="FY168" s="1433"/>
      <c r="FZ168" s="1433"/>
      <c r="GA168" s="1433"/>
      <c r="GB168" s="1433"/>
      <c r="GC168" s="1433"/>
      <c r="GD168" s="1433"/>
      <c r="GE168" s="1433"/>
      <c r="GF168" s="1433"/>
      <c r="GG168" s="1433"/>
      <c r="GH168" s="1433"/>
      <c r="GI168" s="1433"/>
      <c r="GJ168" s="1433"/>
      <c r="GK168" s="1433"/>
      <c r="GL168" s="1433"/>
      <c r="GM168" s="1433"/>
      <c r="GN168" s="1433"/>
      <c r="GO168" s="1433"/>
      <c r="GP168" s="1433"/>
      <c r="GQ168" s="1433"/>
      <c r="GR168" s="1433"/>
      <c r="GS168" s="1433"/>
      <c r="GT168" s="1433"/>
      <c r="GU168" s="1433"/>
      <c r="GV168" s="1433"/>
      <c r="GW168" s="1433"/>
      <c r="GX168" s="1433"/>
      <c r="GY168" s="1433"/>
      <c r="GZ168" s="1433"/>
      <c r="HA168" s="1433"/>
      <c r="HB168" s="1433"/>
      <c r="HC168" s="1433"/>
      <c r="HD168" s="1433"/>
      <c r="HE168" s="1433"/>
      <c r="HF168" s="1433"/>
      <c r="HG168" s="1433"/>
      <c r="HH168" s="1433"/>
      <c r="HI168" s="1433"/>
      <c r="HJ168" s="1433"/>
      <c r="HK168" s="1433"/>
      <c r="HL168" s="1433"/>
      <c r="HM168" s="1433"/>
      <c r="HN168" s="1433"/>
      <c r="HO168" s="1433"/>
      <c r="HP168" s="1433"/>
      <c r="HQ168" s="1433"/>
      <c r="HR168" s="1433"/>
      <c r="HS168" s="1433"/>
      <c r="HT168" s="1433"/>
      <c r="HU168" s="1433"/>
      <c r="HV168" s="1433"/>
      <c r="HW168" s="1433"/>
      <c r="HX168" s="1433"/>
      <c r="HY168" s="1433"/>
      <c r="HZ168" s="1433"/>
      <c r="IA168" s="1433"/>
      <c r="IB168" s="1433"/>
      <c r="IC168" s="1433"/>
      <c r="ID168" s="1433"/>
      <c r="IE168" s="1433"/>
      <c r="IF168" s="1433"/>
      <c r="IG168" s="1433"/>
      <c r="IH168" s="1433"/>
      <c r="II168" s="1433"/>
      <c r="IJ168" s="1433"/>
      <c r="IK168" s="1433"/>
      <c r="IL168" s="1433"/>
      <c r="IM168" s="1433"/>
      <c r="IN168" s="1433"/>
      <c r="IO168" s="1433"/>
      <c r="IP168" s="1433"/>
      <c r="IQ168" s="1433"/>
      <c r="IR168" s="1433"/>
      <c r="IS168" s="1433"/>
      <c r="IT168" s="1433"/>
      <c r="IU168" s="1433"/>
      <c r="IV168" s="1433"/>
    </row>
    <row r="169" spans="1:256" s="1372" customFormat="1">
      <c r="A169" s="1426" t="s">
        <v>576</v>
      </c>
      <c r="B169" s="1370">
        <v>138748912.88999999</v>
      </c>
      <c r="C169" s="1402">
        <v>1.4919999999999999E-2</v>
      </c>
      <c r="D169" s="1387">
        <v>255</v>
      </c>
      <c r="E169" s="1402">
        <v>2.8E-3</v>
      </c>
      <c r="F169" s="1374"/>
      <c r="G169" s="1426" t="s">
        <v>576</v>
      </c>
      <c r="H169" s="1414">
        <v>165460498.74000001</v>
      </c>
      <c r="I169" s="1415">
        <v>1.779E-2</v>
      </c>
      <c r="J169" s="1416">
        <v>347</v>
      </c>
      <c r="K169" s="1415">
        <v>3.81E-3</v>
      </c>
      <c r="M169" s="1375"/>
      <c r="N169" s="1375"/>
      <c r="O169" s="1375"/>
      <c r="P169" s="1375"/>
      <c r="Q169" s="1375"/>
      <c r="R169" s="1375"/>
      <c r="S169" s="1375"/>
      <c r="T169" s="1375"/>
      <c r="U169" s="1375"/>
      <c r="V169" s="1375"/>
      <c r="W169" s="1375"/>
      <c r="X169" s="1375"/>
      <c r="Y169" s="1375"/>
      <c r="Z169" s="1375"/>
      <c r="AA169" s="1375"/>
      <c r="AB169" s="1375"/>
      <c r="AC169" s="1375"/>
      <c r="AD169" s="1375"/>
      <c r="AE169" s="1375"/>
      <c r="AF169" s="1375"/>
      <c r="AG169" s="1375"/>
      <c r="AH169" s="1375"/>
      <c r="AI169" s="1375"/>
      <c r="AJ169" s="1375"/>
    </row>
    <row r="170" spans="1:256" s="1372" customFormat="1" ht="12.75" customHeight="1">
      <c r="A170" s="1426" t="s">
        <v>577</v>
      </c>
      <c r="B170" s="1370">
        <v>79637621.5</v>
      </c>
      <c r="C170" s="1402">
        <v>8.5599999999999999E-3</v>
      </c>
      <c r="D170" s="1387">
        <v>123</v>
      </c>
      <c r="E170" s="1402">
        <v>1.3500000000000001E-3</v>
      </c>
      <c r="G170" s="1426" t="s">
        <v>577</v>
      </c>
      <c r="H170" s="1414">
        <v>81731697.569999993</v>
      </c>
      <c r="I170" s="1415">
        <v>8.7899999999999992E-3</v>
      </c>
      <c r="J170" s="1416">
        <v>147</v>
      </c>
      <c r="K170" s="1415">
        <v>1.6100000000000001E-3</v>
      </c>
      <c r="M170" s="1375"/>
      <c r="N170" s="1375"/>
      <c r="O170" s="1375"/>
      <c r="P170" s="1375"/>
      <c r="Q170" s="1375"/>
      <c r="R170" s="1375"/>
      <c r="S170" s="1375"/>
      <c r="T170" s="1375"/>
      <c r="U170" s="1375"/>
      <c r="V170" s="1375"/>
      <c r="W170" s="1375"/>
      <c r="X170" s="1375"/>
      <c r="Y170" s="1375"/>
      <c r="Z170" s="1375"/>
      <c r="AA170" s="1375"/>
      <c r="AB170" s="1375"/>
      <c r="AC170" s="1375"/>
      <c r="AD170" s="1375"/>
      <c r="AE170" s="1375"/>
      <c r="AF170" s="1375"/>
      <c r="AG170" s="1375"/>
      <c r="AH170" s="1375"/>
      <c r="AI170" s="1375"/>
      <c r="AJ170" s="1375"/>
    </row>
    <row r="171" spans="1:256" s="1372" customFormat="1" ht="12.75" customHeight="1">
      <c r="A171" s="1426" t="s">
        <v>578</v>
      </c>
      <c r="B171" s="1370">
        <v>57592784.719999999</v>
      </c>
      <c r="C171" s="1402">
        <v>6.1900000000000002E-3</v>
      </c>
      <c r="D171" s="1387">
        <v>77</v>
      </c>
      <c r="E171" s="1402">
        <v>8.4000000000000003E-4</v>
      </c>
      <c r="F171" s="1374"/>
      <c r="G171" s="1426" t="s">
        <v>578</v>
      </c>
      <c r="H171" s="1414">
        <v>67268861.069999993</v>
      </c>
      <c r="I171" s="1415">
        <v>7.2300000000000003E-3</v>
      </c>
      <c r="J171" s="1416">
        <v>102</v>
      </c>
      <c r="K171" s="1415">
        <v>1.1199999999999999E-3</v>
      </c>
      <c r="M171" s="1375"/>
      <c r="N171" s="1375"/>
      <c r="O171" s="1375"/>
      <c r="P171" s="1375"/>
      <c r="Q171" s="1375"/>
      <c r="R171" s="1375"/>
      <c r="S171" s="1375"/>
      <c r="T171" s="1375"/>
      <c r="U171" s="1375"/>
      <c r="V171" s="1375"/>
      <c r="W171" s="1375"/>
      <c r="X171" s="1375"/>
      <c r="Y171" s="1375"/>
      <c r="Z171" s="1375"/>
      <c r="AA171" s="1375"/>
      <c r="AB171" s="1375"/>
      <c r="AC171" s="1375"/>
      <c r="AD171" s="1375"/>
      <c r="AE171" s="1375"/>
      <c r="AF171" s="1375"/>
      <c r="AG171" s="1375"/>
      <c r="AH171" s="1375"/>
      <c r="AI171" s="1375"/>
      <c r="AJ171" s="1375"/>
    </row>
    <row r="172" spans="1:256" s="1372" customFormat="1">
      <c r="A172" s="1426" t="s">
        <v>579</v>
      </c>
      <c r="B172" s="1370">
        <v>26523429.25</v>
      </c>
      <c r="C172" s="1402">
        <v>2.8500000000000001E-3</v>
      </c>
      <c r="D172" s="1387">
        <v>31</v>
      </c>
      <c r="E172" s="1402">
        <v>3.4000000000000002E-4</v>
      </c>
      <c r="F172" s="1374"/>
      <c r="G172" s="1426" t="s">
        <v>579</v>
      </c>
      <c r="H172" s="1414">
        <v>37069328.880000003</v>
      </c>
      <c r="I172" s="1415">
        <v>3.9899999999999996E-3</v>
      </c>
      <c r="J172" s="1416">
        <v>50</v>
      </c>
      <c r="K172" s="1415">
        <v>5.5000000000000003E-4</v>
      </c>
      <c r="M172" s="1375"/>
      <c r="N172" s="1375"/>
      <c r="O172" s="1375"/>
      <c r="P172" s="1375"/>
      <c r="Q172" s="1375"/>
      <c r="R172" s="1375"/>
      <c r="S172" s="1375"/>
      <c r="T172" s="1375"/>
      <c r="U172" s="1375"/>
      <c r="V172" s="1375"/>
      <c r="W172" s="1375"/>
      <c r="X172" s="1375"/>
      <c r="Y172" s="1375"/>
      <c r="Z172" s="1375"/>
      <c r="AA172" s="1375"/>
      <c r="AB172" s="1375"/>
      <c r="AC172" s="1375"/>
      <c r="AD172" s="1375"/>
      <c r="AE172" s="1375"/>
      <c r="AF172" s="1375"/>
      <c r="AG172" s="1375"/>
      <c r="AH172" s="1375"/>
      <c r="AI172" s="1375"/>
      <c r="AJ172" s="1375"/>
    </row>
    <row r="173" spans="1:256" s="1372" customFormat="1">
      <c r="A173" s="1426" t="s">
        <v>580</v>
      </c>
      <c r="B173" s="1370">
        <v>27360980.879999999</v>
      </c>
      <c r="C173" s="1402">
        <v>2.9399999999999999E-3</v>
      </c>
      <c r="D173" s="1387">
        <v>29</v>
      </c>
      <c r="E173" s="1402">
        <v>3.2000000000000003E-4</v>
      </c>
      <c r="F173" s="1418"/>
      <c r="G173" s="1426" t="s">
        <v>580</v>
      </c>
      <c r="H173" s="1414">
        <v>35835673.340000004</v>
      </c>
      <c r="I173" s="1415">
        <v>3.8500000000000001E-3</v>
      </c>
      <c r="J173" s="1416">
        <v>42</v>
      </c>
      <c r="K173" s="1415">
        <v>4.6000000000000001E-4</v>
      </c>
      <c r="M173" s="1375"/>
      <c r="N173" s="1375"/>
      <c r="O173" s="1375"/>
      <c r="P173" s="1375"/>
      <c r="Q173" s="1375"/>
      <c r="R173" s="1375"/>
      <c r="S173" s="1375"/>
      <c r="T173" s="1375"/>
      <c r="U173" s="1375"/>
      <c r="V173" s="1375"/>
      <c r="W173" s="1375"/>
      <c r="X173" s="1375"/>
      <c r="Y173" s="1375"/>
      <c r="Z173" s="1375"/>
      <c r="AA173" s="1375"/>
      <c r="AB173" s="1375"/>
      <c r="AC173" s="1375"/>
      <c r="AD173" s="1375"/>
      <c r="AE173" s="1375"/>
      <c r="AF173" s="1375"/>
      <c r="AG173" s="1375"/>
      <c r="AH173" s="1375"/>
      <c r="AI173" s="1375"/>
      <c r="AJ173" s="1375"/>
    </row>
    <row r="174" spans="1:256" s="1372" customFormat="1" ht="13.5" thickBot="1">
      <c r="A174" s="1392" t="s">
        <v>803</v>
      </c>
      <c r="B174" s="1393">
        <v>9300995038.3099976</v>
      </c>
      <c r="C174" s="1390">
        <v>0.99998000000000009</v>
      </c>
      <c r="D174" s="1391">
        <v>91137</v>
      </c>
      <c r="E174" s="1390">
        <v>0.99999000000000005</v>
      </c>
      <c r="F174" s="1418"/>
      <c r="G174" s="1392" t="s">
        <v>803</v>
      </c>
      <c r="H174" s="1393">
        <v>9300995038.3099976</v>
      </c>
      <c r="I174" s="1390">
        <v>0.99998999999999993</v>
      </c>
      <c r="J174" s="1391">
        <v>91137</v>
      </c>
      <c r="K174" s="1390">
        <v>1</v>
      </c>
      <c r="M174" s="1375"/>
      <c r="N174" s="1375"/>
      <c r="O174" s="1375"/>
      <c r="P174" s="1375"/>
      <c r="Q174" s="1375"/>
      <c r="R174" s="1375"/>
      <c r="S174" s="1375"/>
      <c r="T174" s="1375"/>
      <c r="U174" s="1375"/>
      <c r="V174" s="1375"/>
      <c r="W174" s="1375"/>
      <c r="X174" s="1375"/>
      <c r="Y174" s="1375"/>
      <c r="Z174" s="1375"/>
      <c r="AA174" s="1375"/>
      <c r="AB174" s="1375"/>
      <c r="AC174" s="1375"/>
      <c r="AD174" s="1375"/>
      <c r="AE174" s="1375"/>
      <c r="AF174" s="1375"/>
      <c r="AG174" s="1375"/>
      <c r="AH174" s="1375"/>
      <c r="AI174" s="1375"/>
      <c r="AJ174" s="1375"/>
    </row>
    <row r="175" spans="1:256" s="1372" customFormat="1" ht="13.5" thickTop="1">
      <c r="M175" s="1375"/>
      <c r="N175" s="1375"/>
      <c r="O175" s="1375"/>
      <c r="P175" s="1375"/>
      <c r="Q175" s="1375"/>
      <c r="R175" s="1375"/>
      <c r="S175" s="1375"/>
      <c r="T175" s="1375"/>
      <c r="U175" s="1375"/>
      <c r="V175" s="1375"/>
      <c r="W175" s="1375"/>
      <c r="X175" s="1375"/>
      <c r="Y175" s="1375"/>
      <c r="Z175" s="1375"/>
      <c r="AA175" s="1375"/>
      <c r="AB175" s="1375"/>
      <c r="AC175" s="1375"/>
      <c r="AD175" s="1375"/>
      <c r="AE175" s="1375"/>
      <c r="AF175" s="1375"/>
      <c r="AG175" s="1375"/>
      <c r="AH175" s="1375"/>
      <c r="AI175" s="1375"/>
      <c r="AJ175" s="1375"/>
    </row>
    <row r="176" spans="1:256" s="1372" customFormat="1" ht="12.75" customHeight="1">
      <c r="A176" s="1429"/>
      <c r="B176" s="1394"/>
      <c r="C176" s="1395"/>
      <c r="D176" s="1394"/>
      <c r="E176" s="1395"/>
      <c r="M176" s="1375"/>
      <c r="N176" s="1375"/>
      <c r="O176" s="1375"/>
      <c r="P176" s="1375"/>
      <c r="Q176" s="1375"/>
      <c r="R176" s="1375"/>
      <c r="S176" s="1375"/>
      <c r="T176" s="1375"/>
      <c r="U176" s="1375"/>
      <c r="V176" s="1375"/>
      <c r="W176" s="1375"/>
      <c r="X176" s="1375"/>
      <c r="Y176" s="1375"/>
      <c r="Z176" s="1375"/>
      <c r="AA176" s="1375"/>
      <c r="AB176" s="1375"/>
      <c r="AC176" s="1375"/>
      <c r="AD176" s="1375"/>
      <c r="AE176" s="1375"/>
      <c r="AF176" s="1375"/>
      <c r="AG176" s="1375"/>
      <c r="AH176" s="1375"/>
      <c r="AI176" s="1375"/>
      <c r="AJ176" s="1375"/>
    </row>
    <row r="177" spans="1:36" s="1372" customFormat="1">
      <c r="A177" s="1431"/>
      <c r="D177" s="1387"/>
      <c r="M177" s="1375"/>
      <c r="N177" s="1375"/>
      <c r="O177" s="1375"/>
      <c r="P177" s="1375"/>
      <c r="Q177" s="1375"/>
      <c r="R177" s="1375"/>
      <c r="S177" s="1375"/>
      <c r="T177" s="1375"/>
      <c r="U177" s="1375"/>
      <c r="V177" s="1375"/>
      <c r="W177" s="1375"/>
      <c r="X177" s="1375"/>
      <c r="Y177" s="1375"/>
      <c r="Z177" s="1375"/>
      <c r="AA177" s="1375"/>
      <c r="AB177" s="1375"/>
      <c r="AC177" s="1375"/>
      <c r="AD177" s="1375"/>
      <c r="AE177" s="1375"/>
      <c r="AF177" s="1375"/>
      <c r="AG177" s="1375"/>
      <c r="AH177" s="1375"/>
      <c r="AI177" s="1375"/>
      <c r="AJ177" s="1375"/>
    </row>
    <row r="178" spans="1:36" s="1372" customFormat="1" ht="15.75">
      <c r="A178" s="1377" t="s">
        <v>485</v>
      </c>
      <c r="B178" s="1394"/>
      <c r="C178" s="1395"/>
      <c r="D178" s="1396"/>
      <c r="E178" s="1395"/>
      <c r="G178" s="1377" t="s">
        <v>704</v>
      </c>
      <c r="H178" s="1434"/>
      <c r="I178" s="1435"/>
      <c r="J178" s="1436"/>
      <c r="K178" s="1435"/>
      <c r="M178" s="1375"/>
      <c r="N178" s="1375"/>
      <c r="O178" s="1375"/>
      <c r="P178" s="1375"/>
      <c r="Q178" s="1375"/>
      <c r="R178" s="1375"/>
      <c r="S178" s="1375"/>
      <c r="T178" s="1375"/>
      <c r="U178" s="1375"/>
      <c r="V178" s="1375"/>
      <c r="W178" s="1375"/>
      <c r="X178" s="1375"/>
      <c r="Y178" s="1375"/>
      <c r="Z178" s="1375"/>
      <c r="AA178" s="1375"/>
      <c r="AB178" s="1375"/>
      <c r="AC178" s="1375"/>
      <c r="AD178" s="1375"/>
      <c r="AE178" s="1375"/>
      <c r="AF178" s="1375"/>
      <c r="AG178" s="1375"/>
      <c r="AH178" s="1375"/>
      <c r="AI178" s="1375"/>
      <c r="AJ178" s="1375"/>
    </row>
    <row r="179" spans="1:36" s="1372" customFormat="1" ht="25.5">
      <c r="A179" s="1437"/>
      <c r="B179" s="1380" t="s">
        <v>943</v>
      </c>
      <c r="C179" s="1381" t="s">
        <v>1010</v>
      </c>
      <c r="D179" s="1425" t="s">
        <v>892</v>
      </c>
      <c r="E179" s="1381" t="s">
        <v>1010</v>
      </c>
      <c r="G179" s="1430" t="s">
        <v>705</v>
      </c>
      <c r="H179" s="1380" t="s">
        <v>943</v>
      </c>
      <c r="I179" s="1381" t="s">
        <v>1010</v>
      </c>
      <c r="J179" s="1425" t="s">
        <v>1011</v>
      </c>
      <c r="K179" s="1381" t="s">
        <v>1010</v>
      </c>
      <c r="M179" s="1375"/>
      <c r="N179" s="1375"/>
      <c r="O179" s="1375"/>
      <c r="P179" s="1375"/>
      <c r="Q179" s="1375"/>
      <c r="R179" s="1375"/>
      <c r="S179" s="1375"/>
      <c r="T179" s="1375"/>
      <c r="U179" s="1375"/>
      <c r="V179" s="1375"/>
      <c r="W179" s="1375"/>
      <c r="X179" s="1375"/>
      <c r="Y179" s="1375"/>
      <c r="Z179" s="1375"/>
      <c r="AA179" s="1375"/>
      <c r="AB179" s="1375"/>
      <c r="AC179" s="1375"/>
      <c r="AD179" s="1375"/>
      <c r="AE179" s="1375"/>
      <c r="AF179" s="1375"/>
      <c r="AG179" s="1375"/>
      <c r="AH179" s="1375"/>
      <c r="AI179" s="1375"/>
      <c r="AJ179" s="1375"/>
    </row>
    <row r="180" spans="1:36" s="1372" customFormat="1">
      <c r="A180" s="1426" t="s">
        <v>472</v>
      </c>
      <c r="B180" s="1370">
        <v>1599706503.8499999</v>
      </c>
      <c r="C180" s="1402">
        <v>0.17199</v>
      </c>
      <c r="D180" s="1387">
        <v>15082</v>
      </c>
      <c r="E180" s="1402">
        <v>0.16549</v>
      </c>
      <c r="G180" s="1438" t="s">
        <v>467</v>
      </c>
      <c r="H180" s="1414">
        <v>7004398346.2299995</v>
      </c>
      <c r="I180" s="1415">
        <v>0.75307999999999997</v>
      </c>
      <c r="J180" s="1416">
        <v>73623</v>
      </c>
      <c r="K180" s="1415">
        <v>0.80783000000000005</v>
      </c>
      <c r="M180" s="1375"/>
      <c r="N180" s="1375"/>
      <c r="O180" s="1375"/>
      <c r="P180" s="1375"/>
      <c r="Q180" s="1375"/>
      <c r="R180" s="1375"/>
      <c r="S180" s="1375"/>
      <c r="T180" s="1375"/>
      <c r="U180" s="1375"/>
      <c r="V180" s="1375"/>
      <c r="W180" s="1375"/>
      <c r="X180" s="1375"/>
      <c r="Y180" s="1375"/>
      <c r="Z180" s="1375"/>
      <c r="AA180" s="1375"/>
      <c r="AB180" s="1375"/>
      <c r="AC180" s="1375"/>
      <c r="AD180" s="1375"/>
      <c r="AE180" s="1375"/>
      <c r="AF180" s="1375"/>
      <c r="AG180" s="1375"/>
      <c r="AH180" s="1375"/>
      <c r="AI180" s="1375"/>
      <c r="AJ180" s="1375"/>
    </row>
    <row r="181" spans="1:36" s="1372" customFormat="1">
      <c r="A181" s="1426" t="s">
        <v>473</v>
      </c>
      <c r="B181" s="1370">
        <v>116373261.28</v>
      </c>
      <c r="C181" s="1402">
        <v>1.251E-2</v>
      </c>
      <c r="D181" s="1387">
        <v>1920</v>
      </c>
      <c r="E181" s="1402">
        <v>2.1069999999999998E-2</v>
      </c>
      <c r="G181" s="1438" t="s">
        <v>583</v>
      </c>
      <c r="H181" s="1414">
        <v>2296596692.0799999</v>
      </c>
      <c r="I181" s="1415">
        <v>0.24692</v>
      </c>
      <c r="J181" s="1416">
        <v>17514</v>
      </c>
      <c r="K181" s="1415">
        <v>0.19217000000000001</v>
      </c>
      <c r="M181" s="1375"/>
      <c r="N181" s="1375"/>
      <c r="O181" s="1375"/>
      <c r="P181" s="1375"/>
      <c r="Q181" s="1375"/>
      <c r="R181" s="1375"/>
      <c r="S181" s="1375"/>
      <c r="T181" s="1375"/>
      <c r="U181" s="1375"/>
      <c r="V181" s="1375"/>
      <c r="W181" s="1375"/>
      <c r="X181" s="1375"/>
      <c r="Y181" s="1375"/>
      <c r="Z181" s="1375"/>
      <c r="AA181" s="1375"/>
      <c r="AB181" s="1375"/>
      <c r="AC181" s="1375"/>
      <c r="AD181" s="1375"/>
      <c r="AE181" s="1375"/>
      <c r="AF181" s="1375"/>
      <c r="AG181" s="1375"/>
      <c r="AH181" s="1375"/>
      <c r="AI181" s="1375"/>
      <c r="AJ181" s="1375"/>
    </row>
    <row r="182" spans="1:36" s="1372" customFormat="1" ht="12.75" customHeight="1" thickBot="1">
      <c r="A182" s="1426" t="s">
        <v>474</v>
      </c>
      <c r="B182" s="1370">
        <v>7584915273.1800003</v>
      </c>
      <c r="C182" s="1402">
        <v>0.8155</v>
      </c>
      <c r="D182" s="1387">
        <v>74135</v>
      </c>
      <c r="E182" s="1402">
        <v>0.81345000000000001</v>
      </c>
      <c r="F182" s="1374"/>
      <c r="G182" s="1392" t="s">
        <v>803</v>
      </c>
      <c r="H182" s="1393">
        <v>9300995038.3099995</v>
      </c>
      <c r="I182" s="1390">
        <v>1</v>
      </c>
      <c r="J182" s="1391">
        <v>91137</v>
      </c>
      <c r="K182" s="1390">
        <v>1</v>
      </c>
      <c r="M182" s="1375"/>
      <c r="N182" s="1375"/>
      <c r="O182" s="1375"/>
      <c r="P182" s="1375"/>
      <c r="Q182" s="1375"/>
      <c r="R182" s="1375"/>
      <c r="S182" s="1375"/>
      <c r="T182" s="1375"/>
      <c r="U182" s="1375"/>
      <c r="V182" s="1375"/>
      <c r="W182" s="1375"/>
      <c r="X182" s="1375"/>
      <c r="Y182" s="1375"/>
      <c r="Z182" s="1375"/>
      <c r="AA182" s="1375"/>
      <c r="AB182" s="1375"/>
      <c r="AC182" s="1375"/>
      <c r="AD182" s="1375"/>
      <c r="AE182" s="1375"/>
      <c r="AF182" s="1375"/>
      <c r="AG182" s="1375"/>
      <c r="AH182" s="1375"/>
      <c r="AI182" s="1375"/>
      <c r="AJ182" s="1375"/>
    </row>
    <row r="183" spans="1:36" s="1372" customFormat="1" ht="13.5" customHeight="1" thickTop="1" thickBot="1">
      <c r="A183" s="1392" t="s">
        <v>803</v>
      </c>
      <c r="B183" s="1393">
        <v>9300995038.3099995</v>
      </c>
      <c r="C183" s="1390">
        <v>1</v>
      </c>
      <c r="D183" s="1391">
        <v>91137</v>
      </c>
      <c r="E183" s="1390">
        <v>1.0000100000000001</v>
      </c>
      <c r="F183" s="1374"/>
      <c r="M183" s="1375"/>
      <c r="N183" s="1375"/>
      <c r="O183" s="1375"/>
      <c r="P183" s="1375"/>
      <c r="Q183" s="1375"/>
      <c r="R183" s="1375"/>
      <c r="S183" s="1375"/>
      <c r="T183" s="1375"/>
      <c r="U183" s="1375"/>
      <c r="V183" s="1375"/>
      <c r="W183" s="1375"/>
      <c r="X183" s="1375"/>
      <c r="Y183" s="1375"/>
      <c r="Z183" s="1375"/>
      <c r="AA183" s="1375"/>
      <c r="AB183" s="1375"/>
      <c r="AC183" s="1375"/>
      <c r="AD183" s="1375"/>
      <c r="AE183" s="1375"/>
      <c r="AF183" s="1375"/>
      <c r="AG183" s="1375"/>
      <c r="AH183" s="1375"/>
      <c r="AI183" s="1375"/>
      <c r="AJ183" s="1375"/>
    </row>
    <row r="184" spans="1:36" s="1372" customFormat="1" ht="13.5" thickTop="1">
      <c r="A184" s="1420"/>
      <c r="B184" s="1370"/>
      <c r="C184" s="1371"/>
      <c r="D184" s="1370"/>
      <c r="E184" s="1371"/>
      <c r="F184" s="1374"/>
      <c r="G184" s="1374"/>
      <c r="M184" s="1375"/>
      <c r="N184" s="1375"/>
      <c r="O184" s="1375"/>
      <c r="P184" s="1375"/>
      <c r="Q184" s="1375"/>
      <c r="R184" s="1375"/>
      <c r="S184" s="1375"/>
      <c r="T184" s="1375"/>
      <c r="U184" s="1375"/>
      <c r="V184" s="1375"/>
      <c r="W184" s="1375"/>
      <c r="X184" s="1375"/>
      <c r="Y184" s="1375"/>
      <c r="Z184" s="1375"/>
      <c r="AA184" s="1375"/>
      <c r="AB184" s="1375"/>
      <c r="AC184" s="1375"/>
      <c r="AD184" s="1375"/>
      <c r="AE184" s="1375"/>
      <c r="AF184" s="1375"/>
      <c r="AG184" s="1375"/>
      <c r="AH184" s="1375"/>
      <c r="AI184" s="1375"/>
      <c r="AJ184" s="1375"/>
    </row>
    <row r="185" spans="1:36" s="1372" customFormat="1">
      <c r="A185" s="1429"/>
      <c r="D185" s="1387"/>
      <c r="F185" s="1374"/>
      <c r="G185" s="1374"/>
      <c r="M185" s="1375"/>
      <c r="N185" s="1375"/>
      <c r="O185" s="1375"/>
      <c r="P185" s="1375"/>
      <c r="Q185" s="1375"/>
      <c r="R185" s="1375"/>
      <c r="S185" s="1375"/>
      <c r="T185" s="1375"/>
      <c r="U185" s="1375"/>
      <c r="V185" s="1375"/>
      <c r="W185" s="1375"/>
      <c r="X185" s="1375"/>
      <c r="Y185" s="1375"/>
      <c r="Z185" s="1375"/>
      <c r="AA185" s="1375"/>
      <c r="AB185" s="1375"/>
      <c r="AC185" s="1375"/>
      <c r="AD185" s="1375"/>
      <c r="AE185" s="1375"/>
      <c r="AF185" s="1375"/>
      <c r="AG185" s="1375"/>
      <c r="AH185" s="1375"/>
      <c r="AI185" s="1375"/>
      <c r="AJ185" s="1375"/>
    </row>
    <row r="186" spans="1:36" s="1372" customFormat="1">
      <c r="A186" s="1439"/>
      <c r="B186" s="1375"/>
      <c r="C186" s="1375"/>
      <c r="D186" s="1438"/>
      <c r="E186" s="1375"/>
      <c r="G186" s="1386"/>
      <c r="M186" s="1375"/>
      <c r="N186" s="1375"/>
      <c r="O186" s="1375"/>
      <c r="P186" s="1375"/>
      <c r="Q186" s="1375"/>
      <c r="R186" s="1375"/>
      <c r="S186" s="1375"/>
      <c r="T186" s="1375"/>
      <c r="U186" s="1375"/>
      <c r="V186" s="1375"/>
      <c r="W186" s="1375"/>
      <c r="X186" s="1375"/>
      <c r="Y186" s="1375"/>
      <c r="Z186" s="1375"/>
      <c r="AA186" s="1375"/>
      <c r="AB186" s="1375"/>
      <c r="AC186" s="1375"/>
      <c r="AD186" s="1375"/>
      <c r="AE186" s="1375"/>
      <c r="AF186" s="1375"/>
      <c r="AG186" s="1375"/>
      <c r="AH186" s="1375"/>
      <c r="AI186" s="1375"/>
      <c r="AJ186" s="1375"/>
    </row>
    <row r="187" spans="1:36" s="1372" customFormat="1" ht="15.75">
      <c r="A187" s="1377" t="s">
        <v>486</v>
      </c>
      <c r="B187" s="1421"/>
      <c r="C187" s="1422"/>
      <c r="D187" s="1421"/>
      <c r="E187" s="1422"/>
      <c r="G187" s="1386"/>
      <c r="M187" s="1375"/>
      <c r="N187" s="1375"/>
      <c r="O187" s="1375"/>
      <c r="P187" s="1375"/>
      <c r="Q187" s="1375"/>
      <c r="R187" s="1375"/>
      <c r="S187" s="1375"/>
      <c r="T187" s="1375"/>
      <c r="U187" s="1375"/>
      <c r="V187" s="1375"/>
      <c r="W187" s="1375"/>
      <c r="X187" s="1375"/>
      <c r="Y187" s="1375"/>
      <c r="Z187" s="1375"/>
      <c r="AA187" s="1375"/>
      <c r="AB187" s="1375"/>
      <c r="AC187" s="1375"/>
      <c r="AD187" s="1375"/>
      <c r="AE187" s="1375"/>
      <c r="AF187" s="1375"/>
      <c r="AG187" s="1375"/>
      <c r="AH187" s="1375"/>
      <c r="AI187" s="1375"/>
      <c r="AJ187" s="1375"/>
    </row>
    <row r="188" spans="1:36" s="1411" customFormat="1" ht="25.5">
      <c r="A188" s="1440"/>
      <c r="B188" s="1380" t="s">
        <v>946</v>
      </c>
      <c r="C188" s="1381" t="s">
        <v>1010</v>
      </c>
      <c r="D188" s="1441" t="s">
        <v>947</v>
      </c>
      <c r="E188" s="1381" t="s">
        <v>1010</v>
      </c>
      <c r="F188" s="1380" t="s">
        <v>1011</v>
      </c>
      <c r="G188" s="1381" t="s">
        <v>1010</v>
      </c>
      <c r="M188" s="1412"/>
      <c r="N188" s="1412"/>
      <c r="O188" s="1412"/>
      <c r="P188" s="1412"/>
      <c r="Q188" s="1412"/>
      <c r="R188" s="1412"/>
      <c r="S188" s="1412"/>
      <c r="T188" s="1412"/>
      <c r="U188" s="1412"/>
      <c r="V188" s="1412"/>
      <c r="W188" s="1412"/>
      <c r="X188" s="1412"/>
      <c r="Y188" s="1412"/>
      <c r="Z188" s="1412"/>
      <c r="AA188" s="1412"/>
      <c r="AB188" s="1412"/>
      <c r="AC188" s="1412"/>
      <c r="AD188" s="1412"/>
      <c r="AE188" s="1412"/>
      <c r="AF188" s="1412"/>
      <c r="AG188" s="1412"/>
      <c r="AH188" s="1412"/>
      <c r="AI188" s="1412"/>
      <c r="AJ188" s="1412"/>
    </row>
    <row r="189" spans="1:36" s="1372" customFormat="1">
      <c r="A189" s="1426" t="s">
        <v>78</v>
      </c>
      <c r="B189" s="1370">
        <v>6469397903.8100004</v>
      </c>
      <c r="C189" s="1386">
        <v>0.73789000000000005</v>
      </c>
      <c r="D189" s="1442">
        <v>434026317.91000003</v>
      </c>
      <c r="E189" s="1386">
        <v>0.81340999999999997</v>
      </c>
      <c r="F189" s="1387">
        <v>68792</v>
      </c>
      <c r="G189" s="1386">
        <v>0.75482000000000005</v>
      </c>
      <c r="M189" s="1375"/>
      <c r="N189" s="1375"/>
      <c r="O189" s="1375"/>
      <c r="P189" s="1375"/>
      <c r="Q189" s="1375"/>
      <c r="R189" s="1375"/>
      <c r="S189" s="1375"/>
      <c r="T189" s="1375"/>
      <c r="U189" s="1375"/>
      <c r="V189" s="1375"/>
      <c r="W189" s="1375"/>
      <c r="X189" s="1375"/>
      <c r="Y189" s="1375"/>
      <c r="Z189" s="1375"/>
      <c r="AA189" s="1375"/>
      <c r="AB189" s="1375"/>
      <c r="AC189" s="1375"/>
      <c r="AD189" s="1375"/>
      <c r="AE189" s="1375"/>
      <c r="AF189" s="1375"/>
      <c r="AG189" s="1375"/>
      <c r="AH189" s="1375"/>
      <c r="AI189" s="1375"/>
      <c r="AJ189" s="1375"/>
    </row>
    <row r="190" spans="1:36" s="1372" customFormat="1">
      <c r="A190" s="1426" t="s">
        <v>79</v>
      </c>
      <c r="B190" s="1370">
        <v>645824004.74000001</v>
      </c>
      <c r="C190" s="1386">
        <v>7.3660000000000003E-2</v>
      </c>
      <c r="D190" s="1442">
        <v>11386880.01</v>
      </c>
      <c r="E190" s="1386">
        <v>2.1340000000000001E-2</v>
      </c>
      <c r="F190" s="1387">
        <v>5037</v>
      </c>
      <c r="G190" s="1386">
        <v>5.527E-2</v>
      </c>
      <c r="M190" s="1375"/>
      <c r="N190" s="1375"/>
      <c r="O190" s="1375"/>
      <c r="P190" s="1375"/>
      <c r="Q190" s="1375"/>
      <c r="R190" s="1375"/>
      <c r="S190" s="1375"/>
      <c r="T190" s="1375"/>
      <c r="U190" s="1375"/>
      <c r="V190" s="1375"/>
      <c r="W190" s="1375"/>
      <c r="X190" s="1375"/>
      <c r="Y190" s="1375"/>
      <c r="Z190" s="1375"/>
      <c r="AA190" s="1375"/>
      <c r="AB190" s="1375"/>
      <c r="AC190" s="1375"/>
      <c r="AD190" s="1375"/>
      <c r="AE190" s="1375"/>
      <c r="AF190" s="1375"/>
      <c r="AG190" s="1375"/>
      <c r="AH190" s="1375"/>
      <c r="AI190" s="1375"/>
      <c r="AJ190" s="1375"/>
    </row>
    <row r="191" spans="1:36" s="1372" customFormat="1">
      <c r="A191" s="1426" t="s">
        <v>80</v>
      </c>
      <c r="B191" s="1370">
        <v>311292186.52999997</v>
      </c>
      <c r="C191" s="1386">
        <v>3.551E-2</v>
      </c>
      <c r="D191" s="1442">
        <v>5541483.5999999996</v>
      </c>
      <c r="E191" s="1386">
        <v>1.039E-2</v>
      </c>
      <c r="F191" s="1387">
        <v>2665</v>
      </c>
      <c r="G191" s="1386">
        <v>2.9239999999999999E-2</v>
      </c>
      <c r="M191" s="1375"/>
      <c r="N191" s="1375"/>
      <c r="O191" s="1375"/>
      <c r="P191" s="1375"/>
      <c r="Q191" s="1375"/>
      <c r="R191" s="1375"/>
      <c r="S191" s="1375"/>
      <c r="T191" s="1375"/>
      <c r="U191" s="1375"/>
      <c r="V191" s="1375"/>
      <c r="W191" s="1375"/>
      <c r="X191" s="1375"/>
      <c r="Y191" s="1375"/>
      <c r="Z191" s="1375"/>
      <c r="AA191" s="1375"/>
      <c r="AB191" s="1375"/>
      <c r="AC191" s="1375"/>
      <c r="AD191" s="1375"/>
      <c r="AE191" s="1375"/>
      <c r="AF191" s="1375"/>
      <c r="AG191" s="1375"/>
      <c r="AH191" s="1375"/>
      <c r="AI191" s="1375"/>
      <c r="AJ191" s="1375"/>
    </row>
    <row r="192" spans="1:36" s="1372" customFormat="1">
      <c r="A192" s="1426" t="s">
        <v>584</v>
      </c>
      <c r="B192" s="1370">
        <v>740404885.21000004</v>
      </c>
      <c r="C192" s="1386">
        <v>8.4449999999999997E-2</v>
      </c>
      <c r="D192" s="1442">
        <v>52784988.659999996</v>
      </c>
      <c r="E192" s="1386">
        <v>9.8919999999999994E-2</v>
      </c>
      <c r="F192" s="1387">
        <v>8431</v>
      </c>
      <c r="G192" s="1386">
        <v>9.2509999999999995E-2</v>
      </c>
      <c r="M192" s="1375"/>
      <c r="N192" s="1375"/>
      <c r="O192" s="1375"/>
      <c r="P192" s="1375"/>
      <c r="Q192" s="1375"/>
      <c r="R192" s="1375"/>
      <c r="S192" s="1375"/>
      <c r="T192" s="1375"/>
      <c r="U192" s="1375"/>
      <c r="V192" s="1375"/>
      <c r="W192" s="1375"/>
      <c r="X192" s="1375"/>
      <c r="Y192" s="1375"/>
      <c r="Z192" s="1375"/>
      <c r="AA192" s="1375"/>
      <c r="AB192" s="1375"/>
      <c r="AC192" s="1375"/>
      <c r="AD192" s="1375"/>
      <c r="AE192" s="1375"/>
      <c r="AF192" s="1375"/>
      <c r="AG192" s="1375"/>
      <c r="AH192" s="1375"/>
      <c r="AI192" s="1375"/>
      <c r="AJ192" s="1375"/>
    </row>
    <row r="193" spans="1:36" s="1372" customFormat="1">
      <c r="A193" s="1426" t="s">
        <v>585</v>
      </c>
      <c r="B193" s="1370">
        <v>562383611.38</v>
      </c>
      <c r="C193" s="1386">
        <v>6.4140000000000003E-2</v>
      </c>
      <c r="D193" s="1442">
        <v>28331208.120000001</v>
      </c>
      <c r="E193" s="1386">
        <v>5.3100000000000001E-2</v>
      </c>
      <c r="F193" s="1387">
        <v>5801</v>
      </c>
      <c r="G193" s="1386">
        <v>6.3649999999999998E-2</v>
      </c>
      <c r="M193" s="1375"/>
      <c r="N193" s="1375"/>
      <c r="O193" s="1375"/>
      <c r="P193" s="1375"/>
      <c r="Q193" s="1375"/>
      <c r="R193" s="1375"/>
      <c r="S193" s="1375"/>
      <c r="T193" s="1375"/>
      <c r="U193" s="1375"/>
      <c r="V193" s="1375"/>
      <c r="W193" s="1375"/>
      <c r="X193" s="1375"/>
      <c r="Y193" s="1375"/>
      <c r="Z193" s="1375"/>
      <c r="AA193" s="1375"/>
      <c r="AB193" s="1375"/>
      <c r="AC193" s="1375"/>
      <c r="AD193" s="1375"/>
      <c r="AE193" s="1375"/>
      <c r="AF193" s="1375"/>
      <c r="AG193" s="1375"/>
      <c r="AH193" s="1375"/>
      <c r="AI193" s="1375"/>
      <c r="AJ193" s="1375"/>
    </row>
    <row r="194" spans="1:36" s="1372" customFormat="1">
      <c r="A194" s="1426" t="s">
        <v>586</v>
      </c>
      <c r="B194" s="1370">
        <v>37622245.450000003</v>
      </c>
      <c r="C194" s="1386">
        <v>4.2900000000000004E-3</v>
      </c>
      <c r="D194" s="1442">
        <v>1486967.7</v>
      </c>
      <c r="E194" s="1386">
        <v>2.7899999999999999E-3</v>
      </c>
      <c r="F194" s="1387">
        <v>400</v>
      </c>
      <c r="G194" s="1386">
        <v>4.3899999999999998E-3</v>
      </c>
      <c r="M194" s="1375"/>
      <c r="N194" s="1375"/>
      <c r="O194" s="1375"/>
      <c r="P194" s="1375"/>
      <c r="Q194" s="1375"/>
      <c r="R194" s="1375"/>
      <c r="S194" s="1375"/>
      <c r="T194" s="1375"/>
      <c r="U194" s="1375"/>
      <c r="V194" s="1375"/>
      <c r="W194" s="1375"/>
      <c r="X194" s="1375"/>
      <c r="Y194" s="1375"/>
      <c r="Z194" s="1375"/>
      <c r="AA194" s="1375"/>
      <c r="AB194" s="1375"/>
      <c r="AC194" s="1375"/>
      <c r="AD194" s="1375"/>
      <c r="AE194" s="1375"/>
      <c r="AF194" s="1375"/>
      <c r="AG194" s="1375"/>
      <c r="AH194" s="1375"/>
      <c r="AI194" s="1375"/>
      <c r="AJ194" s="1375"/>
    </row>
    <row r="195" spans="1:36" s="1372" customFormat="1">
      <c r="A195" s="1426" t="s">
        <v>850</v>
      </c>
      <c r="B195" s="1370">
        <v>482659.76</v>
      </c>
      <c r="C195" s="1386">
        <v>6.0000000000000002E-5</v>
      </c>
      <c r="D195" s="1442">
        <v>29695.43</v>
      </c>
      <c r="E195" s="1386">
        <v>6.0000000000000002E-5</v>
      </c>
      <c r="F195" s="1387">
        <v>11</v>
      </c>
      <c r="G195" s="1386">
        <v>1.2E-4</v>
      </c>
      <c r="M195" s="1375"/>
      <c r="N195" s="1375"/>
      <c r="O195" s="1375"/>
      <c r="P195" s="1375"/>
      <c r="Q195" s="1375"/>
      <c r="R195" s="1375"/>
      <c r="S195" s="1375"/>
      <c r="T195" s="1375"/>
      <c r="U195" s="1375"/>
      <c r="V195" s="1375"/>
      <c r="W195" s="1375"/>
      <c r="X195" s="1375"/>
      <c r="Y195" s="1375"/>
      <c r="Z195" s="1375"/>
      <c r="AA195" s="1375"/>
      <c r="AB195" s="1375"/>
      <c r="AC195" s="1375"/>
      <c r="AD195" s="1375"/>
      <c r="AE195" s="1375"/>
      <c r="AF195" s="1375"/>
      <c r="AG195" s="1375"/>
      <c r="AH195" s="1375"/>
      <c r="AI195" s="1375"/>
      <c r="AJ195" s="1375"/>
    </row>
    <row r="196" spans="1:36" s="1372" customFormat="1" ht="13.5" thickBot="1">
      <c r="A196" s="1392" t="s">
        <v>803</v>
      </c>
      <c r="B196" s="1393">
        <v>8767407496.8800011</v>
      </c>
      <c r="C196" s="1390">
        <v>1</v>
      </c>
      <c r="D196" s="1443">
        <v>533587541.43000007</v>
      </c>
      <c r="E196" s="1390">
        <v>1.0000100000000001</v>
      </c>
      <c r="F196" s="1391">
        <v>91137</v>
      </c>
      <c r="G196" s="1390">
        <v>1</v>
      </c>
      <c r="M196" s="1375"/>
      <c r="N196" s="1375"/>
      <c r="O196" s="1375"/>
      <c r="P196" s="1375"/>
      <c r="Q196" s="1375"/>
      <c r="R196" s="1375"/>
      <c r="S196" s="1375"/>
      <c r="T196" s="1375"/>
      <c r="U196" s="1375"/>
      <c r="V196" s="1375"/>
      <c r="W196" s="1375"/>
      <c r="X196" s="1375"/>
      <c r="Y196" s="1375"/>
      <c r="Z196" s="1375"/>
      <c r="AA196" s="1375"/>
      <c r="AB196" s="1375"/>
      <c r="AC196" s="1375"/>
      <c r="AD196" s="1375"/>
      <c r="AE196" s="1375"/>
      <c r="AF196" s="1375"/>
      <c r="AG196" s="1375"/>
      <c r="AH196" s="1375"/>
      <c r="AI196" s="1375"/>
      <c r="AJ196" s="1375"/>
    </row>
    <row r="197" spans="1:36" s="1372" customFormat="1" ht="13.5" thickTop="1">
      <c r="A197" s="1392"/>
      <c r="B197" s="1394"/>
      <c r="C197" s="1395"/>
      <c r="D197" s="1396"/>
      <c r="E197" s="1395"/>
      <c r="F197" s="1444"/>
      <c r="G197" s="1445"/>
      <c r="M197" s="1375"/>
      <c r="N197" s="1375"/>
      <c r="O197" s="1375"/>
      <c r="P197" s="1375"/>
      <c r="Q197" s="1375"/>
      <c r="R197" s="1375"/>
      <c r="S197" s="1375"/>
      <c r="T197" s="1375"/>
      <c r="U197" s="1375"/>
      <c r="V197" s="1375"/>
      <c r="W197" s="1375"/>
      <c r="X197" s="1375"/>
      <c r="Y197" s="1375"/>
      <c r="Z197" s="1375"/>
      <c r="AA197" s="1375"/>
      <c r="AB197" s="1375"/>
      <c r="AC197" s="1375"/>
      <c r="AD197" s="1375"/>
      <c r="AE197" s="1375"/>
      <c r="AF197" s="1375"/>
      <c r="AG197" s="1375"/>
      <c r="AH197" s="1375"/>
      <c r="AI197" s="1375"/>
      <c r="AJ197" s="1375"/>
    </row>
    <row r="198" spans="1:36" s="1372" customFormat="1" ht="15.75">
      <c r="A198" s="1377" t="s">
        <v>487</v>
      </c>
      <c r="B198" s="1394"/>
      <c r="C198" s="1395"/>
      <c r="D198" s="1394"/>
      <c r="E198" s="1395"/>
      <c r="F198" s="1375"/>
      <c r="G198" s="1386"/>
      <c r="M198" s="1375"/>
      <c r="N198" s="1375"/>
      <c r="O198" s="1375"/>
      <c r="P198" s="1375"/>
      <c r="Q198" s="1375"/>
      <c r="R198" s="1375"/>
      <c r="S198" s="1375"/>
      <c r="T198" s="1375"/>
      <c r="U198" s="1375"/>
      <c r="V198" s="1375"/>
      <c r="W198" s="1375"/>
      <c r="X198" s="1375"/>
      <c r="Y198" s="1375"/>
      <c r="Z198" s="1375"/>
      <c r="AA198" s="1375"/>
      <c r="AB198" s="1375"/>
      <c r="AC198" s="1375"/>
      <c r="AD198" s="1375"/>
      <c r="AE198" s="1375"/>
      <c r="AF198" s="1375"/>
      <c r="AG198" s="1375"/>
      <c r="AH198" s="1375"/>
      <c r="AI198" s="1375"/>
      <c r="AJ198" s="1375"/>
    </row>
    <row r="199" spans="1:36" s="1411" customFormat="1" ht="25.5">
      <c r="A199" s="1440"/>
      <c r="B199" s="1380" t="s">
        <v>948</v>
      </c>
      <c r="C199" s="1381" t="s">
        <v>1010</v>
      </c>
      <c r="D199" s="1441" t="s">
        <v>947</v>
      </c>
      <c r="E199" s="1381" t="s">
        <v>1010</v>
      </c>
      <c r="F199" s="1380" t="s">
        <v>1011</v>
      </c>
      <c r="G199" s="1381" t="s">
        <v>1010</v>
      </c>
      <c r="M199" s="1412"/>
      <c r="N199" s="1412"/>
      <c r="O199" s="1412"/>
      <c r="P199" s="1412"/>
      <c r="Q199" s="1412"/>
      <c r="R199" s="1412"/>
      <c r="S199" s="1412"/>
      <c r="T199" s="1412"/>
      <c r="U199" s="1412"/>
      <c r="V199" s="1412"/>
      <c r="W199" s="1412"/>
      <c r="X199" s="1412"/>
      <c r="Y199" s="1412"/>
      <c r="Z199" s="1412"/>
      <c r="AA199" s="1412"/>
      <c r="AB199" s="1412"/>
      <c r="AC199" s="1412"/>
      <c r="AD199" s="1412"/>
      <c r="AE199" s="1412"/>
      <c r="AF199" s="1412"/>
      <c r="AG199" s="1412"/>
      <c r="AH199" s="1412"/>
      <c r="AI199" s="1412"/>
      <c r="AJ199" s="1412"/>
    </row>
    <row r="200" spans="1:36" s="1372" customFormat="1">
      <c r="A200" s="1384" t="s">
        <v>79</v>
      </c>
      <c r="B200" s="1370">
        <v>135530513.47</v>
      </c>
      <c r="C200" s="1386">
        <v>8.856E-2</v>
      </c>
      <c r="D200" s="1442">
        <v>1310645.58</v>
      </c>
      <c r="E200" s="1386">
        <v>1.8919999999999999E-2</v>
      </c>
      <c r="F200" s="1387">
        <v>979</v>
      </c>
      <c r="G200" s="1386">
        <v>6.4909999999999995E-2</v>
      </c>
      <c r="M200" s="1375"/>
      <c r="N200" s="1375"/>
      <c r="O200" s="1375"/>
      <c r="P200" s="1375"/>
      <c r="Q200" s="1375"/>
      <c r="R200" s="1375"/>
      <c r="S200" s="1375"/>
      <c r="T200" s="1375"/>
      <c r="U200" s="1375"/>
      <c r="V200" s="1375"/>
      <c r="W200" s="1375"/>
      <c r="X200" s="1375"/>
      <c r="Y200" s="1375"/>
      <c r="Z200" s="1375"/>
      <c r="AA200" s="1375"/>
      <c r="AB200" s="1375"/>
      <c r="AC200" s="1375"/>
      <c r="AD200" s="1375"/>
      <c r="AE200" s="1375"/>
      <c r="AF200" s="1375"/>
      <c r="AG200" s="1375"/>
      <c r="AH200" s="1375"/>
      <c r="AI200" s="1375"/>
      <c r="AJ200" s="1375"/>
    </row>
    <row r="201" spans="1:36" s="1372" customFormat="1">
      <c r="A201" s="1384" t="s">
        <v>80</v>
      </c>
      <c r="B201" s="1370">
        <v>153278449.37</v>
      </c>
      <c r="C201" s="1386">
        <v>0.10015</v>
      </c>
      <c r="D201" s="1442">
        <v>2912477.29</v>
      </c>
      <c r="E201" s="1386">
        <v>4.2049999999999997E-2</v>
      </c>
      <c r="F201" s="1387">
        <v>1385</v>
      </c>
      <c r="G201" s="1386">
        <v>9.1829999999999995E-2</v>
      </c>
      <c r="M201" s="1375"/>
      <c r="N201" s="1375"/>
      <c r="O201" s="1375"/>
      <c r="P201" s="1375"/>
      <c r="Q201" s="1375"/>
      <c r="R201" s="1375"/>
      <c r="S201" s="1375"/>
      <c r="T201" s="1375"/>
      <c r="U201" s="1375"/>
      <c r="V201" s="1375"/>
      <c r="W201" s="1375"/>
      <c r="X201" s="1375"/>
      <c r="Y201" s="1375"/>
      <c r="Z201" s="1375"/>
      <c r="AA201" s="1375"/>
      <c r="AB201" s="1375"/>
      <c r="AC201" s="1375"/>
      <c r="AD201" s="1375"/>
      <c r="AE201" s="1375"/>
      <c r="AF201" s="1375"/>
      <c r="AG201" s="1375"/>
      <c r="AH201" s="1375"/>
      <c r="AI201" s="1375"/>
      <c r="AJ201" s="1375"/>
    </row>
    <row r="202" spans="1:36" s="1372" customFormat="1">
      <c r="A202" s="1384" t="s">
        <v>584</v>
      </c>
      <c r="B202" s="1370">
        <v>641142184.27999997</v>
      </c>
      <c r="C202" s="1386">
        <v>0.41893000000000002</v>
      </c>
      <c r="D202" s="1442">
        <v>35195846.020000003</v>
      </c>
      <c r="E202" s="1386">
        <v>0.50812000000000002</v>
      </c>
      <c r="F202" s="1387">
        <v>6506</v>
      </c>
      <c r="G202" s="1386">
        <v>0.43137999999999999</v>
      </c>
      <c r="M202" s="1375"/>
      <c r="N202" s="1375"/>
      <c r="O202" s="1375"/>
      <c r="P202" s="1375"/>
      <c r="Q202" s="1375"/>
      <c r="R202" s="1375"/>
      <c r="S202" s="1375"/>
      <c r="T202" s="1375"/>
      <c r="U202" s="1375"/>
      <c r="V202" s="1375"/>
      <c r="W202" s="1375"/>
      <c r="X202" s="1375"/>
      <c r="Y202" s="1375"/>
      <c r="Z202" s="1375"/>
      <c r="AA202" s="1375"/>
      <c r="AB202" s="1375"/>
      <c r="AC202" s="1375"/>
      <c r="AD202" s="1375"/>
      <c r="AE202" s="1375"/>
      <c r="AF202" s="1375"/>
      <c r="AG202" s="1375"/>
      <c r="AH202" s="1375"/>
      <c r="AI202" s="1375"/>
      <c r="AJ202" s="1375"/>
    </row>
    <row r="203" spans="1:36" s="1372" customFormat="1">
      <c r="A203" s="1384" t="s">
        <v>585</v>
      </c>
      <c r="B203" s="1370">
        <v>562383611.38</v>
      </c>
      <c r="C203" s="1386">
        <v>0.36747000000000002</v>
      </c>
      <c r="D203" s="1442">
        <v>28331208.120000001</v>
      </c>
      <c r="E203" s="1386">
        <v>0.40901999999999999</v>
      </c>
      <c r="F203" s="1387">
        <v>5801</v>
      </c>
      <c r="G203" s="1386">
        <v>0.38463000000000003</v>
      </c>
      <c r="M203" s="1375"/>
      <c r="N203" s="1375"/>
      <c r="O203" s="1375"/>
      <c r="P203" s="1375"/>
      <c r="Q203" s="1375"/>
      <c r="R203" s="1375"/>
      <c r="S203" s="1375"/>
      <c r="T203" s="1375"/>
      <c r="U203" s="1375"/>
      <c r="V203" s="1375"/>
      <c r="W203" s="1375"/>
      <c r="X203" s="1375"/>
      <c r="Y203" s="1375"/>
      <c r="Z203" s="1375"/>
      <c r="AA203" s="1375"/>
      <c r="AB203" s="1375"/>
      <c r="AC203" s="1375"/>
      <c r="AD203" s="1375"/>
      <c r="AE203" s="1375"/>
      <c r="AF203" s="1375"/>
      <c r="AG203" s="1375"/>
      <c r="AH203" s="1375"/>
      <c r="AI203" s="1375"/>
      <c r="AJ203" s="1375"/>
    </row>
    <row r="204" spans="1:36" s="1372" customFormat="1">
      <c r="A204" s="1384" t="s">
        <v>586</v>
      </c>
      <c r="B204" s="1370">
        <v>37622245.450000003</v>
      </c>
      <c r="C204" s="1386">
        <v>2.4580000000000001E-2</v>
      </c>
      <c r="D204" s="1442">
        <v>1486967.7</v>
      </c>
      <c r="E204" s="1386">
        <v>2.147E-2</v>
      </c>
      <c r="F204" s="1387">
        <v>400</v>
      </c>
      <c r="G204" s="1386">
        <v>2.6519999999999998E-2</v>
      </c>
      <c r="M204" s="1375"/>
      <c r="N204" s="1375"/>
      <c r="O204" s="1375"/>
      <c r="P204" s="1375"/>
      <c r="Q204" s="1375"/>
      <c r="R204" s="1375"/>
      <c r="S204" s="1375"/>
      <c r="T204" s="1375"/>
      <c r="U204" s="1375"/>
      <c r="V204" s="1375"/>
      <c r="W204" s="1375"/>
      <c r="X204" s="1375"/>
      <c r="Y204" s="1375"/>
      <c r="Z204" s="1375"/>
      <c r="AA204" s="1375"/>
      <c r="AB204" s="1375"/>
      <c r="AC204" s="1375"/>
      <c r="AD204" s="1375"/>
      <c r="AE204" s="1375"/>
      <c r="AF204" s="1375"/>
      <c r="AG204" s="1375"/>
      <c r="AH204" s="1375"/>
      <c r="AI204" s="1375"/>
      <c r="AJ204" s="1375"/>
    </row>
    <row r="205" spans="1:36" s="1372" customFormat="1">
      <c r="A205" s="1384" t="s">
        <v>850</v>
      </c>
      <c r="B205" s="1370">
        <v>482659.76</v>
      </c>
      <c r="C205" s="1386">
        <v>3.2000000000000003E-4</v>
      </c>
      <c r="D205" s="1442">
        <v>29695.43</v>
      </c>
      <c r="E205" s="1386">
        <v>4.2999999999999999E-4</v>
      </c>
      <c r="F205" s="1387">
        <v>11</v>
      </c>
      <c r="G205" s="1386">
        <v>7.2999999999999996E-4</v>
      </c>
      <c r="M205" s="1375"/>
      <c r="N205" s="1375"/>
      <c r="O205" s="1375"/>
      <c r="P205" s="1375"/>
      <c r="Q205" s="1375"/>
      <c r="R205" s="1375"/>
      <c r="S205" s="1375"/>
      <c r="T205" s="1375"/>
      <c r="U205" s="1375"/>
      <c r="V205" s="1375"/>
      <c r="W205" s="1375"/>
      <c r="X205" s="1375"/>
      <c r="Y205" s="1375"/>
      <c r="Z205" s="1375"/>
      <c r="AA205" s="1375"/>
      <c r="AB205" s="1375"/>
      <c r="AC205" s="1375"/>
      <c r="AD205" s="1375"/>
      <c r="AE205" s="1375"/>
      <c r="AF205" s="1375"/>
      <c r="AG205" s="1375"/>
      <c r="AH205" s="1375"/>
      <c r="AI205" s="1375"/>
      <c r="AJ205" s="1375"/>
    </row>
    <row r="206" spans="1:36" s="1372" customFormat="1" ht="13.5" thickBot="1">
      <c r="A206" s="1392" t="s">
        <v>803</v>
      </c>
      <c r="B206" s="1393">
        <v>1530439663.71</v>
      </c>
      <c r="C206" s="1390">
        <v>1.0000100000000001</v>
      </c>
      <c r="D206" s="1443">
        <v>69266840.140000015</v>
      </c>
      <c r="E206" s="1390">
        <v>1.0000100000000001</v>
      </c>
      <c r="F206" s="1391">
        <v>15082</v>
      </c>
      <c r="G206" s="1390">
        <v>1</v>
      </c>
      <c r="M206" s="1375"/>
      <c r="N206" s="1375"/>
      <c r="O206" s="1375"/>
      <c r="P206" s="1375"/>
      <c r="Q206" s="1375"/>
      <c r="R206" s="1375"/>
      <c r="S206" s="1375"/>
      <c r="T206" s="1375"/>
      <c r="U206" s="1375"/>
      <c r="V206" s="1375"/>
      <c r="W206" s="1375"/>
      <c r="X206" s="1375"/>
      <c r="Y206" s="1375"/>
      <c r="Z206" s="1375"/>
      <c r="AA206" s="1375"/>
      <c r="AB206" s="1375"/>
      <c r="AC206" s="1375"/>
      <c r="AD206" s="1375"/>
      <c r="AE206" s="1375"/>
      <c r="AF206" s="1375"/>
      <c r="AG206" s="1375"/>
      <c r="AH206" s="1375"/>
      <c r="AI206" s="1375"/>
      <c r="AJ206" s="1375"/>
    </row>
    <row r="207" spans="1:36" s="1372" customFormat="1" ht="13.5" thickTop="1">
      <c r="A207" s="1429"/>
      <c r="B207" s="1394"/>
      <c r="C207" s="1395"/>
      <c r="D207" s="1394"/>
      <c r="E207" s="1395"/>
      <c r="F207" s="1375"/>
      <c r="H207" s="1409"/>
      <c r="I207" s="1409"/>
      <c r="M207" s="1375"/>
      <c r="N207" s="1375"/>
      <c r="O207" s="1375"/>
      <c r="P207" s="1375"/>
      <c r="Q207" s="1375"/>
      <c r="R207" s="1375"/>
      <c r="S207" s="1375"/>
      <c r="T207" s="1375"/>
      <c r="U207" s="1375"/>
      <c r="V207" s="1375"/>
      <c r="W207" s="1375"/>
      <c r="X207" s="1375"/>
      <c r="Y207" s="1375"/>
      <c r="Z207" s="1375"/>
      <c r="AA207" s="1375"/>
      <c r="AB207" s="1375"/>
      <c r="AC207" s="1375"/>
      <c r="AD207" s="1375"/>
      <c r="AE207" s="1375"/>
      <c r="AF207" s="1375"/>
      <c r="AG207" s="1375"/>
      <c r="AH207" s="1375"/>
      <c r="AI207" s="1375"/>
      <c r="AJ207" s="1375"/>
    </row>
    <row r="208" spans="1:36" s="1372" customFormat="1">
      <c r="A208" s="1429"/>
      <c r="B208" s="1375"/>
      <c r="C208" s="1375"/>
      <c r="D208" s="1438"/>
      <c r="E208" s="1375"/>
      <c r="F208" s="1375"/>
      <c r="M208" s="1375"/>
      <c r="N208" s="1375"/>
      <c r="O208" s="1375"/>
      <c r="P208" s="1375"/>
      <c r="Q208" s="1375"/>
      <c r="R208" s="1375"/>
      <c r="S208" s="1375"/>
      <c r="T208" s="1375"/>
      <c r="U208" s="1375"/>
      <c r="V208" s="1375"/>
      <c r="W208" s="1375"/>
      <c r="X208" s="1375"/>
      <c r="Y208" s="1375"/>
      <c r="Z208" s="1375"/>
      <c r="AA208" s="1375"/>
      <c r="AB208" s="1375"/>
      <c r="AC208" s="1375"/>
      <c r="AD208" s="1375"/>
      <c r="AE208" s="1375"/>
      <c r="AF208" s="1375"/>
      <c r="AG208" s="1375"/>
      <c r="AH208" s="1375"/>
      <c r="AI208" s="1375"/>
      <c r="AJ208" s="1375"/>
    </row>
    <row r="209" spans="1:38" s="1372" customFormat="1" ht="15.75">
      <c r="A209" s="1377" t="s">
        <v>1031</v>
      </c>
      <c r="B209" s="1370"/>
      <c r="C209" s="1371"/>
      <c r="D209" s="1370"/>
      <c r="E209" s="1371"/>
      <c r="F209" s="1409"/>
      <c r="G209" s="1386"/>
      <c r="H209" s="1374"/>
      <c r="I209" s="1374"/>
      <c r="M209" s="1375"/>
      <c r="N209" s="1375"/>
      <c r="O209" s="1375"/>
      <c r="P209" s="1375"/>
      <c r="Q209" s="1375"/>
      <c r="R209" s="1375"/>
      <c r="S209" s="1375"/>
      <c r="T209" s="1375"/>
      <c r="U209" s="1375"/>
      <c r="V209" s="1375"/>
      <c r="W209" s="1375"/>
      <c r="X209" s="1375"/>
      <c r="Y209" s="1375"/>
      <c r="Z209" s="1375"/>
      <c r="AA209" s="1375"/>
      <c r="AB209" s="1375"/>
      <c r="AC209" s="1375"/>
      <c r="AD209" s="1375"/>
      <c r="AE209" s="1375"/>
      <c r="AF209" s="1375"/>
      <c r="AG209" s="1375"/>
      <c r="AH209" s="1375"/>
      <c r="AI209" s="1375"/>
      <c r="AJ209" s="1375"/>
    </row>
    <row r="210" spans="1:38" s="1372" customFormat="1" ht="25.5">
      <c r="A210" s="1446" t="s">
        <v>702</v>
      </c>
      <c r="B210" s="1380" t="s">
        <v>890</v>
      </c>
      <c r="C210" s="1381" t="s">
        <v>891</v>
      </c>
      <c r="D210" s="1381" t="s">
        <v>727</v>
      </c>
      <c r="E210" s="1381" t="s">
        <v>728</v>
      </c>
      <c r="F210" s="1380" t="s">
        <v>85</v>
      </c>
      <c r="G210" s="1381" t="s">
        <v>726</v>
      </c>
      <c r="H210" s="1409"/>
      <c r="I210" s="1409"/>
      <c r="J210" s="1409"/>
      <c r="K210" s="1409"/>
      <c r="O210" s="1375"/>
      <c r="P210" s="1375"/>
      <c r="Q210" s="1375"/>
      <c r="R210" s="1375"/>
      <c r="S210" s="1375"/>
      <c r="T210" s="1375"/>
      <c r="U210" s="1375"/>
      <c r="V210" s="1375"/>
      <c r="W210" s="1375"/>
      <c r="X210" s="1375"/>
      <c r="Y210" s="1375"/>
      <c r="Z210" s="1375"/>
      <c r="AA210" s="1375"/>
      <c r="AB210" s="1375"/>
      <c r="AC210" s="1375"/>
      <c r="AD210" s="1375"/>
      <c r="AE210" s="1375"/>
      <c r="AF210" s="1375"/>
      <c r="AG210" s="1375"/>
      <c r="AH210" s="1375"/>
      <c r="AI210" s="1375"/>
      <c r="AJ210" s="1375"/>
      <c r="AK210" s="1375"/>
      <c r="AL210" s="1375"/>
    </row>
    <row r="211" spans="1:38" s="1372" customFormat="1">
      <c r="A211" s="1370" t="s">
        <v>1032</v>
      </c>
      <c r="B211" s="1370">
        <v>86426.65</v>
      </c>
      <c r="C211" s="1402">
        <v>1.0000000000000001E-5</v>
      </c>
      <c r="D211" s="1447">
        <v>0</v>
      </c>
      <c r="E211" s="1448">
        <v>86426.65</v>
      </c>
      <c r="F211" s="1387">
        <v>1</v>
      </c>
      <c r="G211" s="1402">
        <v>1.0000000000000001E-5</v>
      </c>
      <c r="O211" s="1375"/>
      <c r="P211" s="1375"/>
      <c r="Q211" s="1375"/>
      <c r="R211" s="1375"/>
      <c r="S211" s="1375"/>
      <c r="T211" s="1375"/>
      <c r="U211" s="1375"/>
      <c r="V211" s="1375"/>
      <c r="W211" s="1375"/>
      <c r="X211" s="1375"/>
      <c r="Y211" s="1375"/>
      <c r="Z211" s="1375"/>
      <c r="AA211" s="1375"/>
      <c r="AB211" s="1375"/>
      <c r="AC211" s="1375"/>
      <c r="AD211" s="1375"/>
      <c r="AE211" s="1375"/>
      <c r="AF211" s="1375"/>
      <c r="AG211" s="1375"/>
      <c r="AH211" s="1375"/>
      <c r="AI211" s="1375"/>
      <c r="AJ211" s="1375"/>
      <c r="AK211" s="1375"/>
      <c r="AL211" s="1375"/>
    </row>
    <row r="212" spans="1:38" s="1372" customFormat="1">
      <c r="A212" s="1370" t="s">
        <v>1033</v>
      </c>
      <c r="B212" s="1370">
        <v>756494.28</v>
      </c>
      <c r="C212" s="1402">
        <v>8.0000000000000007E-5</v>
      </c>
      <c r="D212" s="1448">
        <v>130565.77</v>
      </c>
      <c r="E212" s="1448">
        <v>625928.51</v>
      </c>
      <c r="F212" s="1387">
        <v>12</v>
      </c>
      <c r="G212" s="1402">
        <v>1.2999999999999999E-4</v>
      </c>
      <c r="O212" s="1375"/>
      <c r="P212" s="1375"/>
      <c r="Q212" s="1375"/>
      <c r="R212" s="1375"/>
      <c r="S212" s="1375"/>
      <c r="T212" s="1375"/>
      <c r="U212" s="1375"/>
      <c r="V212" s="1375"/>
      <c r="W212" s="1375"/>
      <c r="X212" s="1375"/>
      <c r="Y212" s="1375"/>
      <c r="Z212" s="1375"/>
      <c r="AA212" s="1375"/>
      <c r="AB212" s="1375"/>
      <c r="AC212" s="1375"/>
      <c r="AD212" s="1375"/>
      <c r="AE212" s="1375"/>
      <c r="AF212" s="1375"/>
      <c r="AG212" s="1375"/>
      <c r="AH212" s="1375"/>
      <c r="AI212" s="1375"/>
      <c r="AJ212" s="1375"/>
      <c r="AK212" s="1375"/>
      <c r="AL212" s="1375"/>
    </row>
    <row r="213" spans="1:38" s="1372" customFormat="1">
      <c r="A213" s="1370" t="s">
        <v>1034</v>
      </c>
      <c r="B213" s="1370">
        <v>5540642.9100000001</v>
      </c>
      <c r="C213" s="1402">
        <v>5.9999999999999995E-4</v>
      </c>
      <c r="D213" s="1448">
        <v>370653.79</v>
      </c>
      <c r="E213" s="1448">
        <v>5169989.12</v>
      </c>
      <c r="F213" s="1387">
        <v>47</v>
      </c>
      <c r="G213" s="1402">
        <v>5.1999999999999995E-4</v>
      </c>
      <c r="O213" s="1375"/>
      <c r="P213" s="1375"/>
      <c r="Q213" s="1375"/>
      <c r="R213" s="1375"/>
      <c r="S213" s="1375"/>
      <c r="T213" s="1375"/>
      <c r="U213" s="1375"/>
      <c r="V213" s="1375"/>
      <c r="W213" s="1375"/>
      <c r="X213" s="1375"/>
      <c r="Y213" s="1375"/>
      <c r="Z213" s="1375"/>
      <c r="AA213" s="1375"/>
      <c r="AB213" s="1375"/>
      <c r="AC213" s="1375"/>
      <c r="AD213" s="1375"/>
      <c r="AE213" s="1375"/>
      <c r="AF213" s="1375"/>
      <c r="AG213" s="1375"/>
      <c r="AH213" s="1375"/>
      <c r="AI213" s="1375"/>
      <c r="AJ213" s="1375"/>
      <c r="AK213" s="1375"/>
      <c r="AL213" s="1375"/>
    </row>
    <row r="214" spans="1:38" s="1372" customFormat="1">
      <c r="A214" s="1370" t="s">
        <v>1035</v>
      </c>
      <c r="B214" s="1370">
        <v>38481966.539999999</v>
      </c>
      <c r="C214" s="1402">
        <v>4.1399999999999996E-3</v>
      </c>
      <c r="D214" s="1448">
        <v>3557086.87</v>
      </c>
      <c r="E214" s="1448">
        <v>34924879.670000002</v>
      </c>
      <c r="F214" s="1387">
        <v>742</v>
      </c>
      <c r="G214" s="1402">
        <v>8.1399999999999997E-3</v>
      </c>
      <c r="O214" s="1375"/>
      <c r="P214" s="1375"/>
      <c r="Q214" s="1375"/>
      <c r="R214" s="1375"/>
      <c r="S214" s="1375"/>
      <c r="T214" s="1375"/>
      <c r="U214" s="1375"/>
      <c r="V214" s="1375"/>
      <c r="W214" s="1375"/>
      <c r="X214" s="1375"/>
      <c r="Y214" s="1375"/>
      <c r="Z214" s="1375"/>
      <c r="AA214" s="1375"/>
      <c r="AB214" s="1375"/>
      <c r="AC214" s="1375"/>
      <c r="AD214" s="1375"/>
      <c r="AE214" s="1375"/>
      <c r="AF214" s="1375"/>
      <c r="AG214" s="1375"/>
      <c r="AH214" s="1375"/>
      <c r="AI214" s="1375"/>
      <c r="AJ214" s="1375"/>
      <c r="AK214" s="1375"/>
      <c r="AL214" s="1375"/>
    </row>
    <row r="215" spans="1:38" s="1372" customFormat="1">
      <c r="A215" s="1370" t="s">
        <v>1036</v>
      </c>
      <c r="B215" s="1370">
        <v>92872992.060000002</v>
      </c>
      <c r="C215" s="1402">
        <v>9.9900000000000006E-3</v>
      </c>
      <c r="D215" s="1448">
        <v>13382724.6</v>
      </c>
      <c r="E215" s="1448">
        <v>79490267.459999993</v>
      </c>
      <c r="F215" s="1387">
        <v>1510</v>
      </c>
      <c r="G215" s="1402">
        <v>1.6570000000000001E-2</v>
      </c>
      <c r="O215" s="1375"/>
      <c r="P215" s="1375"/>
      <c r="Q215" s="1375"/>
      <c r="R215" s="1375"/>
      <c r="S215" s="1375"/>
      <c r="T215" s="1375"/>
      <c r="U215" s="1375"/>
      <c r="V215" s="1375"/>
      <c r="W215" s="1375"/>
      <c r="X215" s="1375"/>
      <c r="Y215" s="1375"/>
      <c r="Z215" s="1375"/>
      <c r="AA215" s="1375"/>
      <c r="AB215" s="1375"/>
      <c r="AC215" s="1375"/>
      <c r="AD215" s="1375"/>
      <c r="AE215" s="1375"/>
      <c r="AF215" s="1375"/>
      <c r="AG215" s="1375"/>
      <c r="AH215" s="1375"/>
      <c r="AI215" s="1375"/>
      <c r="AJ215" s="1375"/>
      <c r="AK215" s="1375"/>
      <c r="AL215" s="1375"/>
    </row>
    <row r="216" spans="1:38" s="1372" customFormat="1">
      <c r="A216" s="1370" t="s">
        <v>1037</v>
      </c>
      <c r="B216" s="1370">
        <v>102681777.90000001</v>
      </c>
      <c r="C216" s="1402">
        <v>1.1039999999999999E-2</v>
      </c>
      <c r="D216" s="1448">
        <v>20465233.91</v>
      </c>
      <c r="E216" s="1448">
        <v>82216543.989999995</v>
      </c>
      <c r="F216" s="1387">
        <v>1703</v>
      </c>
      <c r="G216" s="1402">
        <v>1.8689999999999998E-2</v>
      </c>
      <c r="O216" s="1375"/>
      <c r="P216" s="1375"/>
      <c r="Q216" s="1375"/>
      <c r="R216" s="1375"/>
      <c r="S216" s="1375"/>
      <c r="T216" s="1375"/>
      <c r="U216" s="1375"/>
      <c r="V216" s="1375"/>
      <c r="W216" s="1375"/>
      <c r="X216" s="1375"/>
      <c r="Y216" s="1375"/>
      <c r="Z216" s="1375"/>
      <c r="AA216" s="1375"/>
      <c r="AB216" s="1375"/>
      <c r="AC216" s="1375"/>
      <c r="AD216" s="1375"/>
      <c r="AE216" s="1375"/>
      <c r="AF216" s="1375"/>
      <c r="AG216" s="1375"/>
      <c r="AH216" s="1375"/>
      <c r="AI216" s="1375"/>
      <c r="AJ216" s="1375"/>
      <c r="AK216" s="1375"/>
      <c r="AL216" s="1375"/>
    </row>
    <row r="217" spans="1:38" s="1372" customFormat="1">
      <c r="A217" s="1370" t="s">
        <v>1038</v>
      </c>
      <c r="B217" s="1370">
        <v>186689319.83000001</v>
      </c>
      <c r="C217" s="1402">
        <v>2.0070000000000001E-2</v>
      </c>
      <c r="D217" s="1448">
        <v>46502966.289999999</v>
      </c>
      <c r="E217" s="1448">
        <v>140186353.53999999</v>
      </c>
      <c r="F217" s="1387">
        <v>2895</v>
      </c>
      <c r="G217" s="1402">
        <v>3.177E-2</v>
      </c>
      <c r="O217" s="1375"/>
      <c r="P217" s="1375"/>
      <c r="Q217" s="1375"/>
      <c r="R217" s="1375"/>
      <c r="S217" s="1375"/>
      <c r="T217" s="1375"/>
      <c r="U217" s="1375"/>
      <c r="V217" s="1375"/>
      <c r="W217" s="1375"/>
      <c r="X217" s="1375"/>
      <c r="Y217" s="1375"/>
      <c r="Z217" s="1375"/>
      <c r="AA217" s="1375"/>
      <c r="AB217" s="1375"/>
      <c r="AC217" s="1375"/>
      <c r="AD217" s="1375"/>
      <c r="AE217" s="1375"/>
      <c r="AF217" s="1375"/>
      <c r="AG217" s="1375"/>
      <c r="AH217" s="1375"/>
      <c r="AI217" s="1375"/>
      <c r="AJ217" s="1375"/>
      <c r="AK217" s="1375"/>
      <c r="AL217" s="1375"/>
    </row>
    <row r="218" spans="1:38" s="1372" customFormat="1">
      <c r="A218" s="1370" t="s">
        <v>1039</v>
      </c>
      <c r="B218" s="1370">
        <v>243745756.22999999</v>
      </c>
      <c r="C218" s="1402">
        <v>2.6210000000000001E-2</v>
      </c>
      <c r="D218" s="1448">
        <v>66995855.689999998</v>
      </c>
      <c r="E218" s="1448">
        <v>176749900.53999999</v>
      </c>
      <c r="F218" s="1387">
        <v>3370</v>
      </c>
      <c r="G218" s="1402">
        <v>3.6979999999999999E-2</v>
      </c>
      <c r="O218" s="1375"/>
      <c r="P218" s="1375"/>
      <c r="Q218" s="1375"/>
      <c r="R218" s="1375"/>
      <c r="S218" s="1375"/>
      <c r="T218" s="1375"/>
      <c r="U218" s="1375"/>
      <c r="V218" s="1375"/>
      <c r="W218" s="1375"/>
      <c r="X218" s="1375"/>
      <c r="Y218" s="1375"/>
      <c r="Z218" s="1375"/>
      <c r="AA218" s="1375"/>
      <c r="AB218" s="1375"/>
      <c r="AC218" s="1375"/>
      <c r="AD218" s="1375"/>
      <c r="AE218" s="1375"/>
      <c r="AF218" s="1375"/>
      <c r="AG218" s="1375"/>
      <c r="AH218" s="1375"/>
      <c r="AI218" s="1375"/>
      <c r="AJ218" s="1375"/>
      <c r="AK218" s="1375"/>
      <c r="AL218" s="1375"/>
    </row>
    <row r="219" spans="1:38" s="1372" customFormat="1">
      <c r="A219" s="1370" t="s">
        <v>1040</v>
      </c>
      <c r="B219" s="1370">
        <v>243387953.30000001</v>
      </c>
      <c r="C219" s="1402">
        <v>2.6169999999999999E-2</v>
      </c>
      <c r="D219" s="1448">
        <v>74638362.480000004</v>
      </c>
      <c r="E219" s="1448">
        <v>168749590.81999999</v>
      </c>
      <c r="F219" s="1387">
        <v>3235</v>
      </c>
      <c r="G219" s="1402">
        <v>3.5499999999999997E-2</v>
      </c>
      <c r="O219" s="1375"/>
      <c r="P219" s="1375"/>
      <c r="Q219" s="1375"/>
      <c r="R219" s="1375"/>
      <c r="S219" s="1375"/>
      <c r="T219" s="1375"/>
      <c r="U219" s="1375"/>
      <c r="V219" s="1375"/>
      <c r="W219" s="1375"/>
      <c r="X219" s="1375"/>
      <c r="Y219" s="1375"/>
      <c r="Z219" s="1375"/>
      <c r="AA219" s="1375"/>
      <c r="AB219" s="1375"/>
      <c r="AC219" s="1375"/>
      <c r="AD219" s="1375"/>
      <c r="AE219" s="1375"/>
      <c r="AF219" s="1375"/>
      <c r="AG219" s="1375"/>
      <c r="AH219" s="1375"/>
      <c r="AI219" s="1375"/>
      <c r="AJ219" s="1375"/>
      <c r="AK219" s="1375"/>
      <c r="AL219" s="1375"/>
    </row>
    <row r="220" spans="1:38" s="1372" customFormat="1">
      <c r="A220" s="1370" t="s">
        <v>779</v>
      </c>
      <c r="B220" s="1370">
        <v>218116366.65000001</v>
      </c>
      <c r="C220" s="1402">
        <v>2.3449999999999999E-2</v>
      </c>
      <c r="D220" s="1448">
        <v>94397272.420000002</v>
      </c>
      <c r="E220" s="1448">
        <v>123719094.23</v>
      </c>
      <c r="F220" s="1387">
        <v>2876</v>
      </c>
      <c r="G220" s="1402">
        <v>3.1559999999999998E-2</v>
      </c>
      <c r="O220" s="1375"/>
      <c r="P220" s="1375"/>
      <c r="Q220" s="1375"/>
      <c r="R220" s="1375"/>
      <c r="S220" s="1375"/>
      <c r="T220" s="1375"/>
      <c r="U220" s="1375"/>
      <c r="V220" s="1375"/>
      <c r="W220" s="1375"/>
      <c r="X220" s="1375"/>
      <c r="Y220" s="1375"/>
      <c r="Z220" s="1375"/>
      <c r="AA220" s="1375"/>
      <c r="AB220" s="1375"/>
      <c r="AC220" s="1375"/>
      <c r="AD220" s="1375"/>
      <c r="AE220" s="1375"/>
      <c r="AF220" s="1375"/>
      <c r="AG220" s="1375"/>
      <c r="AH220" s="1375"/>
      <c r="AI220" s="1375"/>
      <c r="AJ220" s="1375"/>
      <c r="AK220" s="1375"/>
      <c r="AL220" s="1375"/>
    </row>
    <row r="221" spans="1:38" s="1372" customFormat="1">
      <c r="A221" s="1370" t="s">
        <v>780</v>
      </c>
      <c r="B221" s="1370">
        <v>232311183.91999999</v>
      </c>
      <c r="C221" s="1402">
        <v>2.4979999999999999E-2</v>
      </c>
      <c r="D221" s="1448">
        <v>104467342.45999999</v>
      </c>
      <c r="E221" s="1448">
        <v>127843841.45999999</v>
      </c>
      <c r="F221" s="1387">
        <v>2971</v>
      </c>
      <c r="G221" s="1402">
        <v>3.2599999999999997E-2</v>
      </c>
      <c r="O221" s="1375"/>
      <c r="P221" s="1375"/>
      <c r="Q221" s="1375"/>
      <c r="R221" s="1375"/>
      <c r="S221" s="1375"/>
      <c r="T221" s="1375"/>
      <c r="U221" s="1375"/>
      <c r="V221" s="1375"/>
      <c r="W221" s="1375"/>
      <c r="X221" s="1375"/>
      <c r="Y221" s="1375"/>
      <c r="Z221" s="1375"/>
      <c r="AA221" s="1375"/>
      <c r="AB221" s="1375"/>
      <c r="AC221" s="1375"/>
      <c r="AD221" s="1375"/>
      <c r="AE221" s="1375"/>
      <c r="AF221" s="1375"/>
      <c r="AG221" s="1375"/>
      <c r="AH221" s="1375"/>
      <c r="AI221" s="1375"/>
      <c r="AJ221" s="1375"/>
      <c r="AK221" s="1375"/>
      <c r="AL221" s="1375"/>
    </row>
    <row r="222" spans="1:38" s="1372" customFormat="1">
      <c r="A222" s="1370" t="s">
        <v>781</v>
      </c>
      <c r="B222" s="1370">
        <v>334257941.73000002</v>
      </c>
      <c r="C222" s="1402">
        <v>3.594E-2</v>
      </c>
      <c r="D222" s="1448">
        <v>160762821.97</v>
      </c>
      <c r="E222" s="1448">
        <v>173495119.75999999</v>
      </c>
      <c r="F222" s="1387">
        <v>4066</v>
      </c>
      <c r="G222" s="1402">
        <v>4.4609999999999997E-2</v>
      </c>
      <c r="O222" s="1375"/>
      <c r="P222" s="1375"/>
      <c r="Q222" s="1375"/>
      <c r="R222" s="1375"/>
      <c r="S222" s="1375"/>
      <c r="T222" s="1375"/>
      <c r="U222" s="1375"/>
      <c r="V222" s="1375"/>
      <c r="W222" s="1375"/>
      <c r="X222" s="1375"/>
      <c r="Y222" s="1375"/>
      <c r="Z222" s="1375"/>
      <c r="AA222" s="1375"/>
      <c r="AB222" s="1375"/>
      <c r="AC222" s="1375"/>
      <c r="AD222" s="1375"/>
      <c r="AE222" s="1375"/>
      <c r="AF222" s="1375"/>
      <c r="AG222" s="1375"/>
      <c r="AH222" s="1375"/>
      <c r="AI222" s="1375"/>
      <c r="AJ222" s="1375"/>
      <c r="AK222" s="1375"/>
      <c r="AL222" s="1375"/>
    </row>
    <row r="223" spans="1:38" s="1372" customFormat="1">
      <c r="A223" s="1370" t="s">
        <v>782</v>
      </c>
      <c r="B223" s="1370">
        <v>382110688.01999998</v>
      </c>
      <c r="C223" s="1402">
        <v>4.1079999999999998E-2</v>
      </c>
      <c r="D223" s="1448">
        <v>190045390.72999999</v>
      </c>
      <c r="E223" s="1448">
        <v>192065297.28999999</v>
      </c>
      <c r="F223" s="1387">
        <v>4375</v>
      </c>
      <c r="G223" s="1402">
        <v>4.8000000000000001E-2</v>
      </c>
      <c r="O223" s="1375"/>
      <c r="P223" s="1375"/>
      <c r="Q223" s="1375"/>
      <c r="R223" s="1375"/>
      <c r="S223" s="1375"/>
      <c r="T223" s="1375"/>
      <c r="U223" s="1375"/>
      <c r="V223" s="1375"/>
      <c r="W223" s="1375"/>
      <c r="X223" s="1375"/>
      <c r="Y223" s="1375"/>
      <c r="Z223" s="1375"/>
      <c r="AA223" s="1375"/>
      <c r="AB223" s="1375"/>
      <c r="AC223" s="1375"/>
      <c r="AD223" s="1375"/>
      <c r="AE223" s="1375"/>
      <c r="AF223" s="1375"/>
      <c r="AG223" s="1375"/>
      <c r="AH223" s="1375"/>
      <c r="AI223" s="1375"/>
      <c r="AJ223" s="1375"/>
      <c r="AK223" s="1375"/>
      <c r="AL223" s="1375"/>
    </row>
    <row r="224" spans="1:38" s="1372" customFormat="1">
      <c r="A224" s="1370" t="s">
        <v>238</v>
      </c>
      <c r="B224" s="1370">
        <v>385670303.60000002</v>
      </c>
      <c r="C224" s="1402">
        <v>4.147E-2</v>
      </c>
      <c r="D224" s="1448">
        <v>195751585.31999999</v>
      </c>
      <c r="E224" s="1448">
        <v>189918718.28</v>
      </c>
      <c r="F224" s="1387">
        <v>4096</v>
      </c>
      <c r="G224" s="1402">
        <v>4.4940000000000001E-2</v>
      </c>
      <c r="O224" s="1375"/>
      <c r="P224" s="1375"/>
      <c r="Q224" s="1375"/>
      <c r="R224" s="1375"/>
      <c r="S224" s="1375"/>
      <c r="T224" s="1375"/>
      <c r="U224" s="1375"/>
      <c r="V224" s="1375"/>
      <c r="W224" s="1375"/>
      <c r="X224" s="1375"/>
      <c r="Y224" s="1375"/>
      <c r="Z224" s="1375"/>
      <c r="AA224" s="1375"/>
      <c r="AB224" s="1375"/>
      <c r="AC224" s="1375"/>
      <c r="AD224" s="1375"/>
      <c r="AE224" s="1375"/>
      <c r="AF224" s="1375"/>
      <c r="AG224" s="1375"/>
      <c r="AH224" s="1375"/>
      <c r="AI224" s="1375"/>
      <c r="AJ224" s="1375"/>
      <c r="AK224" s="1375"/>
      <c r="AL224" s="1375"/>
    </row>
    <row r="225" spans="1:38" s="1372" customFormat="1">
      <c r="A225" s="1370" t="s">
        <v>239</v>
      </c>
      <c r="B225" s="1370">
        <v>371045009.24000001</v>
      </c>
      <c r="C225" s="1402">
        <v>3.9890000000000002E-2</v>
      </c>
      <c r="D225" s="1448">
        <v>210750281.66999999</v>
      </c>
      <c r="E225" s="1448">
        <v>160294727.56999999</v>
      </c>
      <c r="F225" s="1387">
        <v>3944</v>
      </c>
      <c r="G225" s="1402">
        <v>4.3279999999999999E-2</v>
      </c>
      <c r="O225" s="1375"/>
      <c r="P225" s="1375"/>
      <c r="Q225" s="1375"/>
      <c r="R225" s="1375"/>
      <c r="S225" s="1375"/>
      <c r="T225" s="1375"/>
      <c r="U225" s="1375"/>
      <c r="V225" s="1375"/>
      <c r="W225" s="1375"/>
      <c r="X225" s="1375"/>
      <c r="Y225" s="1375"/>
      <c r="Z225" s="1375"/>
      <c r="AA225" s="1375"/>
      <c r="AB225" s="1375"/>
      <c r="AC225" s="1375"/>
      <c r="AD225" s="1375"/>
      <c r="AE225" s="1375"/>
      <c r="AF225" s="1375"/>
      <c r="AG225" s="1375"/>
      <c r="AH225" s="1375"/>
      <c r="AI225" s="1375"/>
      <c r="AJ225" s="1375"/>
      <c r="AK225" s="1375"/>
      <c r="AL225" s="1375"/>
    </row>
    <row r="226" spans="1:38" s="1372" customFormat="1">
      <c r="A226" s="1370" t="s">
        <v>240</v>
      </c>
      <c r="B226" s="1370">
        <v>412756140.39999998</v>
      </c>
      <c r="C226" s="1402">
        <v>4.4380000000000003E-2</v>
      </c>
      <c r="D226" s="1448">
        <v>242188676.52000001</v>
      </c>
      <c r="E226" s="1448">
        <v>170567463.88</v>
      </c>
      <c r="F226" s="1387">
        <v>4181</v>
      </c>
      <c r="G226" s="1402">
        <v>4.5879999999999997E-2</v>
      </c>
      <c r="O226" s="1375"/>
      <c r="P226" s="1375"/>
      <c r="Q226" s="1375"/>
      <c r="R226" s="1375"/>
      <c r="S226" s="1375"/>
      <c r="T226" s="1375"/>
      <c r="U226" s="1375"/>
      <c r="V226" s="1375"/>
      <c r="W226" s="1375"/>
      <c r="X226" s="1375"/>
      <c r="Y226" s="1375"/>
      <c r="Z226" s="1375"/>
      <c r="AA226" s="1375"/>
      <c r="AB226" s="1375"/>
      <c r="AC226" s="1375"/>
      <c r="AD226" s="1375"/>
      <c r="AE226" s="1375"/>
      <c r="AF226" s="1375"/>
      <c r="AG226" s="1375"/>
      <c r="AH226" s="1375"/>
      <c r="AI226" s="1375"/>
      <c r="AJ226" s="1375"/>
      <c r="AK226" s="1375"/>
      <c r="AL226" s="1375"/>
    </row>
    <row r="227" spans="1:38" s="1372" customFormat="1">
      <c r="A227" s="1370" t="s">
        <v>241</v>
      </c>
      <c r="B227" s="1370">
        <v>584807133.45000005</v>
      </c>
      <c r="C227" s="1402">
        <v>6.2880000000000005E-2</v>
      </c>
      <c r="D227" s="1448">
        <v>351244238.49000001</v>
      </c>
      <c r="E227" s="1448">
        <v>233562894.96000001</v>
      </c>
      <c r="F227" s="1387">
        <v>5650</v>
      </c>
      <c r="G227" s="1402">
        <v>6.1990000000000003E-2</v>
      </c>
      <c r="O227" s="1375"/>
      <c r="P227" s="1375"/>
      <c r="Q227" s="1375"/>
      <c r="R227" s="1375"/>
      <c r="S227" s="1375"/>
      <c r="T227" s="1375"/>
      <c r="U227" s="1375"/>
      <c r="V227" s="1375"/>
      <c r="W227" s="1375"/>
      <c r="X227" s="1375"/>
      <c r="Y227" s="1375"/>
      <c r="Z227" s="1375"/>
      <c r="AA227" s="1375"/>
      <c r="AB227" s="1375"/>
      <c r="AC227" s="1375"/>
      <c r="AD227" s="1375"/>
      <c r="AE227" s="1375"/>
      <c r="AF227" s="1375"/>
      <c r="AG227" s="1375"/>
      <c r="AH227" s="1375"/>
      <c r="AI227" s="1375"/>
      <c r="AJ227" s="1375"/>
      <c r="AK227" s="1375"/>
      <c r="AL227" s="1375"/>
    </row>
    <row r="228" spans="1:38" s="1372" customFormat="1">
      <c r="A228" s="1370" t="s">
        <v>242</v>
      </c>
      <c r="B228" s="1370">
        <v>651626259.27999997</v>
      </c>
      <c r="C228" s="1402">
        <v>7.0059999999999997E-2</v>
      </c>
      <c r="D228" s="1448">
        <v>378952534.19999999</v>
      </c>
      <c r="E228" s="1448">
        <v>272673725.07999998</v>
      </c>
      <c r="F228" s="1387">
        <v>5980</v>
      </c>
      <c r="G228" s="1402">
        <v>6.5619999999999998E-2</v>
      </c>
      <c r="O228" s="1375"/>
      <c r="P228" s="1375"/>
      <c r="Q228" s="1375"/>
      <c r="R228" s="1375"/>
      <c r="S228" s="1375"/>
      <c r="T228" s="1375"/>
      <c r="U228" s="1375"/>
      <c r="V228" s="1375"/>
      <c r="W228" s="1375"/>
      <c r="X228" s="1375"/>
      <c r="Y228" s="1375"/>
      <c r="Z228" s="1375"/>
      <c r="AA228" s="1375"/>
      <c r="AB228" s="1375"/>
      <c r="AC228" s="1375"/>
      <c r="AD228" s="1375"/>
      <c r="AE228" s="1375"/>
      <c r="AF228" s="1375"/>
      <c r="AG228" s="1375"/>
      <c r="AH228" s="1375"/>
      <c r="AI228" s="1375"/>
      <c r="AJ228" s="1375"/>
      <c r="AK228" s="1375"/>
      <c r="AL228" s="1375"/>
    </row>
    <row r="229" spans="1:38" s="1372" customFormat="1">
      <c r="A229" s="1370" t="s">
        <v>243</v>
      </c>
      <c r="B229" s="1370">
        <v>615230221.58000004</v>
      </c>
      <c r="C229" s="1402">
        <v>6.615E-2</v>
      </c>
      <c r="D229" s="1448">
        <v>358580803.48000002</v>
      </c>
      <c r="E229" s="1448">
        <v>256649418.09999999</v>
      </c>
      <c r="F229" s="1387">
        <v>5443</v>
      </c>
      <c r="G229" s="1402">
        <v>5.9720000000000002E-2</v>
      </c>
      <c r="O229" s="1375"/>
      <c r="P229" s="1375"/>
      <c r="Q229" s="1375"/>
      <c r="R229" s="1375"/>
      <c r="S229" s="1375"/>
      <c r="T229" s="1375"/>
      <c r="U229" s="1375"/>
      <c r="V229" s="1375"/>
      <c r="W229" s="1375"/>
      <c r="X229" s="1375"/>
      <c r="Y229" s="1375"/>
      <c r="Z229" s="1375"/>
      <c r="AA229" s="1375"/>
      <c r="AB229" s="1375"/>
      <c r="AC229" s="1375"/>
      <c r="AD229" s="1375"/>
      <c r="AE229" s="1375"/>
      <c r="AF229" s="1375"/>
      <c r="AG229" s="1375"/>
      <c r="AH229" s="1375"/>
      <c r="AI229" s="1375"/>
      <c r="AJ229" s="1375"/>
      <c r="AK229" s="1375"/>
      <c r="AL229" s="1375"/>
    </row>
    <row r="230" spans="1:38" s="1372" customFormat="1">
      <c r="A230" s="1370" t="s">
        <v>244</v>
      </c>
      <c r="B230" s="1370">
        <v>555004739.99000001</v>
      </c>
      <c r="C230" s="1402">
        <v>5.9670000000000001E-2</v>
      </c>
      <c r="D230" s="1448">
        <v>371720369.31</v>
      </c>
      <c r="E230" s="1448">
        <v>183284370.68000001</v>
      </c>
      <c r="F230" s="1387">
        <v>5099</v>
      </c>
      <c r="G230" s="1402">
        <v>5.595E-2</v>
      </c>
      <c r="O230" s="1375"/>
      <c r="P230" s="1375"/>
      <c r="Q230" s="1375"/>
      <c r="R230" s="1375"/>
      <c r="S230" s="1375"/>
      <c r="T230" s="1375"/>
      <c r="U230" s="1375"/>
      <c r="V230" s="1375"/>
      <c r="W230" s="1375"/>
      <c r="X230" s="1375"/>
      <c r="Y230" s="1375"/>
      <c r="Z230" s="1375"/>
      <c r="AA230" s="1375"/>
      <c r="AB230" s="1375"/>
      <c r="AC230" s="1375"/>
      <c r="AD230" s="1375"/>
      <c r="AE230" s="1375"/>
      <c r="AF230" s="1375"/>
      <c r="AG230" s="1375"/>
      <c r="AH230" s="1375"/>
      <c r="AI230" s="1375"/>
      <c r="AJ230" s="1375"/>
      <c r="AK230" s="1375"/>
      <c r="AL230" s="1375"/>
    </row>
    <row r="231" spans="1:38" s="1372" customFormat="1">
      <c r="A231" s="1370" t="s">
        <v>245</v>
      </c>
      <c r="B231" s="1370">
        <v>551588618.05999994</v>
      </c>
      <c r="C231" s="1402">
        <v>5.9299999999999999E-2</v>
      </c>
      <c r="D231" s="1448">
        <v>372324687.33999997</v>
      </c>
      <c r="E231" s="1448">
        <v>179263930.72</v>
      </c>
      <c r="F231" s="1387">
        <v>4740</v>
      </c>
      <c r="G231" s="1402">
        <v>5.2010000000000001E-2</v>
      </c>
      <c r="O231" s="1375"/>
      <c r="P231" s="1375"/>
      <c r="Q231" s="1375"/>
      <c r="R231" s="1375"/>
      <c r="S231" s="1375"/>
      <c r="T231" s="1375"/>
      <c r="U231" s="1375"/>
      <c r="V231" s="1375"/>
      <c r="W231" s="1375"/>
      <c r="X231" s="1375"/>
      <c r="Y231" s="1375"/>
      <c r="Z231" s="1375"/>
      <c r="AA231" s="1375"/>
      <c r="AB231" s="1375"/>
      <c r="AC231" s="1375"/>
      <c r="AD231" s="1375"/>
      <c r="AE231" s="1375"/>
      <c r="AF231" s="1375"/>
      <c r="AG231" s="1375"/>
      <c r="AH231" s="1375"/>
      <c r="AI231" s="1375"/>
      <c r="AJ231" s="1375"/>
      <c r="AK231" s="1375"/>
      <c r="AL231" s="1375"/>
    </row>
    <row r="232" spans="1:38" s="1372" customFormat="1">
      <c r="A232" s="1370" t="s">
        <v>246</v>
      </c>
      <c r="B232" s="1370">
        <v>809960684.67999995</v>
      </c>
      <c r="C232" s="1402">
        <v>8.7080000000000005E-2</v>
      </c>
      <c r="D232" s="1448">
        <v>523147259.93000001</v>
      </c>
      <c r="E232" s="1448">
        <v>286813424.75</v>
      </c>
      <c r="F232" s="1387">
        <v>6618</v>
      </c>
      <c r="G232" s="1402">
        <v>7.2620000000000004E-2</v>
      </c>
      <c r="O232" s="1375"/>
      <c r="P232" s="1375"/>
      <c r="Q232" s="1375"/>
      <c r="R232" s="1375"/>
      <c r="S232" s="1375"/>
      <c r="T232" s="1375"/>
      <c r="U232" s="1375"/>
      <c r="V232" s="1375"/>
      <c r="W232" s="1375"/>
      <c r="X232" s="1375"/>
      <c r="Y232" s="1375"/>
      <c r="Z232" s="1375"/>
      <c r="AA232" s="1375"/>
      <c r="AB232" s="1375"/>
      <c r="AC232" s="1375"/>
      <c r="AD232" s="1375"/>
      <c r="AE232" s="1375"/>
      <c r="AF232" s="1375"/>
      <c r="AG232" s="1375"/>
      <c r="AH232" s="1375"/>
      <c r="AI232" s="1375"/>
      <c r="AJ232" s="1375"/>
      <c r="AK232" s="1375"/>
      <c r="AL232" s="1375"/>
    </row>
    <row r="233" spans="1:38" s="1372" customFormat="1">
      <c r="A233" s="1370" t="s">
        <v>247</v>
      </c>
      <c r="B233" s="1370">
        <v>626314522.67999995</v>
      </c>
      <c r="C233" s="1402">
        <v>6.7339999999999997E-2</v>
      </c>
      <c r="D233" s="1448">
        <v>409263326.74000001</v>
      </c>
      <c r="E233" s="1448">
        <v>217051195.94</v>
      </c>
      <c r="F233" s="1387">
        <v>4942</v>
      </c>
      <c r="G233" s="1402">
        <v>5.423E-2</v>
      </c>
      <c r="O233" s="1375"/>
      <c r="P233" s="1375"/>
      <c r="Q233" s="1375"/>
      <c r="R233" s="1375"/>
      <c r="S233" s="1375"/>
      <c r="T233" s="1375"/>
      <c r="U233" s="1375"/>
      <c r="V233" s="1375"/>
      <c r="W233" s="1375"/>
      <c r="X233" s="1375"/>
      <c r="Y233" s="1375"/>
      <c r="Z233" s="1375"/>
      <c r="AA233" s="1375"/>
      <c r="AB233" s="1375"/>
      <c r="AC233" s="1375"/>
      <c r="AD233" s="1375"/>
      <c r="AE233" s="1375"/>
      <c r="AF233" s="1375"/>
      <c r="AG233" s="1375"/>
      <c r="AH233" s="1375"/>
      <c r="AI233" s="1375"/>
      <c r="AJ233" s="1375"/>
      <c r="AK233" s="1375"/>
      <c r="AL233" s="1375"/>
    </row>
    <row r="234" spans="1:38" s="1372" customFormat="1">
      <c r="A234" s="1370" t="s">
        <v>248</v>
      </c>
      <c r="B234" s="1370">
        <v>463535376</v>
      </c>
      <c r="C234" s="1402">
        <v>4.9840000000000002E-2</v>
      </c>
      <c r="D234" s="1448">
        <v>286160307.92000002</v>
      </c>
      <c r="E234" s="1448">
        <v>177375068.08000001</v>
      </c>
      <c r="F234" s="1387">
        <v>3475</v>
      </c>
      <c r="G234" s="1402">
        <v>3.8129999999999997E-2</v>
      </c>
      <c r="O234" s="1375"/>
      <c r="P234" s="1375"/>
      <c r="Q234" s="1375"/>
      <c r="R234" s="1375"/>
      <c r="S234" s="1375"/>
      <c r="T234" s="1375"/>
      <c r="U234" s="1375"/>
      <c r="V234" s="1375"/>
      <c r="W234" s="1375"/>
      <c r="X234" s="1375"/>
      <c r="Y234" s="1375"/>
      <c r="Z234" s="1375"/>
      <c r="AA234" s="1375"/>
      <c r="AB234" s="1375"/>
      <c r="AC234" s="1375"/>
      <c r="AD234" s="1375"/>
      <c r="AE234" s="1375"/>
      <c r="AF234" s="1375"/>
      <c r="AG234" s="1375"/>
      <c r="AH234" s="1375"/>
      <c r="AI234" s="1375"/>
      <c r="AJ234" s="1375"/>
      <c r="AK234" s="1375"/>
      <c r="AL234" s="1375"/>
    </row>
    <row r="235" spans="1:38" s="1372" customFormat="1">
      <c r="A235" s="1370" t="s">
        <v>249</v>
      </c>
      <c r="B235" s="1370">
        <v>172818134.19999999</v>
      </c>
      <c r="C235" s="1402">
        <v>1.8579999999999999E-2</v>
      </c>
      <c r="D235" s="1448">
        <v>143477162.05000001</v>
      </c>
      <c r="E235" s="1448">
        <v>29340972.149999999</v>
      </c>
      <c r="F235" s="1387">
        <v>1351</v>
      </c>
      <c r="G235" s="1402">
        <v>1.482E-2</v>
      </c>
      <c r="O235" s="1375"/>
      <c r="P235" s="1375"/>
      <c r="Q235" s="1375"/>
      <c r="R235" s="1375"/>
      <c r="S235" s="1375"/>
      <c r="T235" s="1375"/>
      <c r="U235" s="1375"/>
      <c r="V235" s="1375"/>
      <c r="W235" s="1375"/>
      <c r="X235" s="1375"/>
      <c r="Y235" s="1375"/>
      <c r="Z235" s="1375"/>
      <c r="AA235" s="1375"/>
      <c r="AB235" s="1375"/>
      <c r="AC235" s="1375"/>
      <c r="AD235" s="1375"/>
      <c r="AE235" s="1375"/>
      <c r="AF235" s="1375"/>
      <c r="AG235" s="1375"/>
      <c r="AH235" s="1375"/>
      <c r="AI235" s="1375"/>
      <c r="AJ235" s="1375"/>
      <c r="AK235" s="1375"/>
      <c r="AL235" s="1375"/>
    </row>
    <row r="236" spans="1:38" s="1372" customFormat="1">
      <c r="A236" s="1370" t="s">
        <v>250</v>
      </c>
      <c r="B236" s="1370">
        <v>153181522.78</v>
      </c>
      <c r="C236" s="1402">
        <v>1.6469999999999999E-2</v>
      </c>
      <c r="D236" s="1448">
        <v>129636358.44</v>
      </c>
      <c r="E236" s="1448">
        <v>23545164.34</v>
      </c>
      <c r="F236" s="1387">
        <v>1169</v>
      </c>
      <c r="G236" s="1402">
        <v>1.2829999999999999E-2</v>
      </c>
      <c r="O236" s="1375"/>
      <c r="P236" s="1375"/>
      <c r="Q236" s="1375"/>
      <c r="R236" s="1375"/>
      <c r="S236" s="1375"/>
      <c r="T236" s="1375"/>
      <c r="U236" s="1375"/>
      <c r="V236" s="1375"/>
      <c r="W236" s="1375"/>
      <c r="X236" s="1375"/>
      <c r="Y236" s="1375"/>
      <c r="Z236" s="1375"/>
      <c r="AA236" s="1375"/>
      <c r="AB236" s="1375"/>
      <c r="AC236" s="1375"/>
      <c r="AD236" s="1375"/>
      <c r="AE236" s="1375"/>
      <c r="AF236" s="1375"/>
      <c r="AG236" s="1375"/>
      <c r="AH236" s="1375"/>
      <c r="AI236" s="1375"/>
      <c r="AJ236" s="1375"/>
      <c r="AK236" s="1375"/>
      <c r="AL236" s="1375"/>
    </row>
    <row r="237" spans="1:38" s="1372" customFormat="1">
      <c r="A237" s="1370" t="s">
        <v>251</v>
      </c>
      <c r="B237" s="1370">
        <v>284214665.07999998</v>
      </c>
      <c r="C237" s="1402">
        <v>3.056E-2</v>
      </c>
      <c r="D237" s="1448">
        <v>256849986.15000001</v>
      </c>
      <c r="E237" s="1448">
        <v>27364678.93</v>
      </c>
      <c r="F237" s="1387">
        <v>2043</v>
      </c>
      <c r="G237" s="1402">
        <v>2.2419999999999999E-2</v>
      </c>
      <c r="O237" s="1375"/>
      <c r="P237" s="1375"/>
      <c r="Q237" s="1375"/>
      <c r="R237" s="1375"/>
      <c r="S237" s="1375"/>
      <c r="T237" s="1375"/>
      <c r="U237" s="1375"/>
      <c r="V237" s="1375"/>
      <c r="W237" s="1375"/>
      <c r="X237" s="1375"/>
      <c r="Y237" s="1375"/>
      <c r="Z237" s="1375"/>
      <c r="AA237" s="1375"/>
      <c r="AB237" s="1375"/>
      <c r="AC237" s="1375"/>
      <c r="AD237" s="1375"/>
      <c r="AE237" s="1375"/>
      <c r="AF237" s="1375"/>
      <c r="AG237" s="1375"/>
      <c r="AH237" s="1375"/>
      <c r="AI237" s="1375"/>
      <c r="AJ237" s="1375"/>
      <c r="AK237" s="1375"/>
      <c r="AL237" s="1375"/>
    </row>
    <row r="238" spans="1:38" s="1372" customFormat="1">
      <c r="A238" s="1370" t="s">
        <v>252</v>
      </c>
      <c r="B238" s="1370">
        <v>112409022.7</v>
      </c>
      <c r="C238" s="1402">
        <v>1.209E-2</v>
      </c>
      <c r="D238" s="1448">
        <v>95504927.189999998</v>
      </c>
      <c r="E238" s="1448">
        <v>16904095.510000002</v>
      </c>
      <c r="F238" s="1387">
        <v>899</v>
      </c>
      <c r="G238" s="1402">
        <v>9.8600000000000007E-3</v>
      </c>
      <c r="O238" s="1375"/>
      <c r="P238" s="1375"/>
      <c r="Q238" s="1375"/>
      <c r="R238" s="1375"/>
      <c r="S238" s="1375"/>
      <c r="T238" s="1375"/>
      <c r="U238" s="1375"/>
      <c r="V238" s="1375"/>
      <c r="W238" s="1375"/>
      <c r="X238" s="1375"/>
      <c r="Y238" s="1375"/>
      <c r="Z238" s="1375"/>
      <c r="AA238" s="1375"/>
      <c r="AB238" s="1375"/>
      <c r="AC238" s="1375"/>
      <c r="AD238" s="1375"/>
      <c r="AE238" s="1375"/>
      <c r="AF238" s="1375"/>
      <c r="AG238" s="1375"/>
      <c r="AH238" s="1375"/>
      <c r="AI238" s="1375"/>
      <c r="AJ238" s="1375"/>
      <c r="AK238" s="1375"/>
      <c r="AL238" s="1375"/>
    </row>
    <row r="239" spans="1:38" s="1372" customFormat="1">
      <c r="A239" s="1370" t="s">
        <v>253</v>
      </c>
      <c r="B239" s="1370">
        <v>99344529.049999997</v>
      </c>
      <c r="C239" s="1402">
        <v>1.068E-2</v>
      </c>
      <c r="D239" s="1448">
        <v>86069888.310000002</v>
      </c>
      <c r="E239" s="1448">
        <v>13274640.74</v>
      </c>
      <c r="F239" s="1387">
        <v>834</v>
      </c>
      <c r="G239" s="1402">
        <v>9.1500000000000001E-3</v>
      </c>
      <c r="O239" s="1375"/>
      <c r="P239" s="1375"/>
      <c r="Q239" s="1375"/>
      <c r="R239" s="1375"/>
      <c r="S239" s="1375"/>
      <c r="T239" s="1375"/>
      <c r="U239" s="1375"/>
      <c r="V239" s="1375"/>
      <c r="W239" s="1375"/>
      <c r="X239" s="1375"/>
      <c r="Y239" s="1375"/>
      <c r="Z239" s="1375"/>
      <c r="AA239" s="1375"/>
      <c r="AB239" s="1375"/>
      <c r="AC239" s="1375"/>
      <c r="AD239" s="1375"/>
      <c r="AE239" s="1375"/>
      <c r="AF239" s="1375"/>
      <c r="AG239" s="1375"/>
      <c r="AH239" s="1375"/>
      <c r="AI239" s="1375"/>
      <c r="AJ239" s="1375"/>
      <c r="AK239" s="1375"/>
      <c r="AL239" s="1375"/>
    </row>
    <row r="240" spans="1:38" s="1372" customFormat="1">
      <c r="A240" s="1370" t="s">
        <v>254</v>
      </c>
      <c r="B240" s="1370">
        <v>46466706.659999996</v>
      </c>
      <c r="C240" s="1402">
        <v>5.0000000000000001E-3</v>
      </c>
      <c r="D240" s="1448">
        <v>41223822.299999997</v>
      </c>
      <c r="E240" s="1448">
        <v>5242884.3600000003</v>
      </c>
      <c r="F240" s="1387">
        <v>365</v>
      </c>
      <c r="G240" s="1402">
        <v>4.0000000000000001E-3</v>
      </c>
      <c r="O240" s="1375"/>
      <c r="P240" s="1375"/>
      <c r="Q240" s="1375"/>
      <c r="R240" s="1375"/>
      <c r="S240" s="1375"/>
      <c r="T240" s="1375"/>
      <c r="U240" s="1375"/>
      <c r="V240" s="1375"/>
      <c r="W240" s="1375"/>
      <c r="X240" s="1375"/>
      <c r="Y240" s="1375"/>
      <c r="Z240" s="1375"/>
      <c r="AA240" s="1375"/>
      <c r="AB240" s="1375"/>
      <c r="AC240" s="1375"/>
      <c r="AD240" s="1375"/>
      <c r="AE240" s="1375"/>
      <c r="AF240" s="1375"/>
      <c r="AG240" s="1375"/>
      <c r="AH240" s="1375"/>
      <c r="AI240" s="1375"/>
      <c r="AJ240" s="1375"/>
      <c r="AK240" s="1375"/>
      <c r="AL240" s="1375"/>
    </row>
    <row r="241" spans="1:38" s="1372" customFormat="1">
      <c r="A241" s="1370" t="s">
        <v>255</v>
      </c>
      <c r="B241" s="1370">
        <v>50595110.659999996</v>
      </c>
      <c r="C241" s="1402">
        <v>5.4400000000000004E-3</v>
      </c>
      <c r="D241" s="1448">
        <v>44232764.789999999</v>
      </c>
      <c r="E241" s="1448">
        <v>6362345.8700000001</v>
      </c>
      <c r="F241" s="1387">
        <v>380</v>
      </c>
      <c r="G241" s="1402">
        <v>4.1700000000000001E-3</v>
      </c>
      <c r="O241" s="1375"/>
      <c r="P241" s="1375"/>
      <c r="Q241" s="1375"/>
      <c r="R241" s="1375"/>
      <c r="S241" s="1375"/>
      <c r="T241" s="1375"/>
      <c r="U241" s="1375"/>
      <c r="V241" s="1375"/>
      <c r="W241" s="1375"/>
      <c r="X241" s="1375"/>
      <c r="Y241" s="1375"/>
      <c r="Z241" s="1375"/>
      <c r="AA241" s="1375"/>
      <c r="AB241" s="1375"/>
      <c r="AC241" s="1375"/>
      <c r="AD241" s="1375"/>
      <c r="AE241" s="1375"/>
      <c r="AF241" s="1375"/>
      <c r="AG241" s="1375"/>
      <c r="AH241" s="1375"/>
      <c r="AI241" s="1375"/>
      <c r="AJ241" s="1375"/>
      <c r="AK241" s="1375"/>
      <c r="AL241" s="1375"/>
    </row>
    <row r="242" spans="1:38" s="1372" customFormat="1">
      <c r="A242" s="1370" t="s">
        <v>256</v>
      </c>
      <c r="B242" s="1370">
        <v>105946830.17</v>
      </c>
      <c r="C242" s="1402">
        <v>1.1390000000000001E-2</v>
      </c>
      <c r="D242" s="1448">
        <v>97204027.909999996</v>
      </c>
      <c r="E242" s="1448">
        <v>8742802.2599999998</v>
      </c>
      <c r="F242" s="1387">
        <v>800</v>
      </c>
      <c r="G242" s="1402">
        <v>8.7799999999999996E-3</v>
      </c>
      <c r="O242" s="1375"/>
      <c r="P242" s="1375"/>
      <c r="Q242" s="1375"/>
      <c r="R242" s="1375"/>
      <c r="S242" s="1375"/>
      <c r="T242" s="1375"/>
      <c r="U242" s="1375"/>
      <c r="V242" s="1375"/>
      <c r="W242" s="1375"/>
      <c r="X242" s="1375"/>
      <c r="Y242" s="1375"/>
      <c r="Z242" s="1375"/>
      <c r="AA242" s="1375"/>
      <c r="AB242" s="1375"/>
      <c r="AC242" s="1375"/>
      <c r="AD242" s="1375"/>
      <c r="AE242" s="1375"/>
      <c r="AF242" s="1375"/>
      <c r="AG242" s="1375"/>
      <c r="AH242" s="1375"/>
      <c r="AI242" s="1375"/>
      <c r="AJ242" s="1375"/>
      <c r="AK242" s="1375"/>
      <c r="AL242" s="1375"/>
    </row>
    <row r="243" spans="1:38" s="1372" customFormat="1">
      <c r="A243" s="1370" t="s">
        <v>938</v>
      </c>
      <c r="B243" s="1370">
        <v>50443016.039999999</v>
      </c>
      <c r="C243" s="1402">
        <v>5.4200000000000003E-3</v>
      </c>
      <c r="D243" s="1448">
        <v>42386488.539999999</v>
      </c>
      <c r="E243" s="1448">
        <v>8056527.5</v>
      </c>
      <c r="F243" s="1387">
        <v>426</v>
      </c>
      <c r="G243" s="1402">
        <v>4.6699999999999997E-3</v>
      </c>
      <c r="O243" s="1375"/>
      <c r="P243" s="1375"/>
      <c r="Q243" s="1375"/>
      <c r="R243" s="1375"/>
      <c r="S243" s="1375"/>
      <c r="T243" s="1375"/>
      <c r="U243" s="1375"/>
      <c r="V243" s="1375"/>
      <c r="W243" s="1375"/>
      <c r="X243" s="1375"/>
      <c r="Y243" s="1375"/>
      <c r="Z243" s="1375"/>
      <c r="AA243" s="1375"/>
      <c r="AB243" s="1375"/>
      <c r="AC243" s="1375"/>
      <c r="AD243" s="1375"/>
      <c r="AE243" s="1375"/>
      <c r="AF243" s="1375"/>
      <c r="AG243" s="1375"/>
      <c r="AH243" s="1375"/>
      <c r="AI243" s="1375"/>
      <c r="AJ243" s="1375"/>
      <c r="AK243" s="1375"/>
      <c r="AL243" s="1375"/>
    </row>
    <row r="244" spans="1:38" s="1372" customFormat="1">
      <c r="A244" s="1370" t="s">
        <v>942</v>
      </c>
      <c r="B244" s="1370">
        <v>54123481.609999999</v>
      </c>
      <c r="C244" s="1402">
        <v>5.8199999999999997E-3</v>
      </c>
      <c r="D244" s="1448">
        <v>49821858.619999997</v>
      </c>
      <c r="E244" s="1448">
        <v>4301622.99</v>
      </c>
      <c r="F244" s="1387">
        <v>463</v>
      </c>
      <c r="G244" s="1402">
        <v>5.0800000000000003E-3</v>
      </c>
      <c r="O244" s="1375"/>
      <c r="P244" s="1375"/>
      <c r="Q244" s="1375"/>
      <c r="R244" s="1375"/>
      <c r="S244" s="1375"/>
      <c r="T244" s="1375"/>
      <c r="U244" s="1375"/>
      <c r="V244" s="1375"/>
      <c r="W244" s="1375"/>
      <c r="X244" s="1375"/>
      <c r="Y244" s="1375"/>
      <c r="Z244" s="1375"/>
      <c r="AA244" s="1375"/>
      <c r="AB244" s="1375"/>
      <c r="AC244" s="1375"/>
      <c r="AD244" s="1375"/>
      <c r="AE244" s="1375"/>
      <c r="AF244" s="1375"/>
      <c r="AG244" s="1375"/>
      <c r="AH244" s="1375"/>
      <c r="AI244" s="1375"/>
      <c r="AJ244" s="1375"/>
      <c r="AK244" s="1375"/>
      <c r="AL244" s="1375"/>
    </row>
    <row r="245" spans="1:38" s="1372" customFormat="1">
      <c r="A245" s="1370" t="s">
        <v>417</v>
      </c>
      <c r="B245" s="1370">
        <v>15530414.34</v>
      </c>
      <c r="C245" s="1402">
        <v>1.67E-3</v>
      </c>
      <c r="D245" s="1448">
        <v>14974134.98</v>
      </c>
      <c r="E245" s="1448">
        <v>556279.36</v>
      </c>
      <c r="F245" s="1387">
        <v>122</v>
      </c>
      <c r="G245" s="1402">
        <v>1.34E-3</v>
      </c>
      <c r="O245" s="1375"/>
      <c r="P245" s="1375"/>
      <c r="Q245" s="1375"/>
      <c r="R245" s="1375"/>
      <c r="S245" s="1375"/>
      <c r="T245" s="1375"/>
      <c r="U245" s="1375"/>
      <c r="V245" s="1375"/>
      <c r="W245" s="1375"/>
      <c r="X245" s="1375"/>
      <c r="Y245" s="1375"/>
      <c r="Z245" s="1375"/>
      <c r="AA245" s="1375"/>
      <c r="AB245" s="1375"/>
      <c r="AC245" s="1375"/>
      <c r="AD245" s="1375"/>
      <c r="AE245" s="1375"/>
      <c r="AF245" s="1375"/>
      <c r="AG245" s="1375"/>
      <c r="AH245" s="1375"/>
      <c r="AI245" s="1375"/>
      <c r="AJ245" s="1375"/>
      <c r="AK245" s="1375"/>
      <c r="AL245" s="1375"/>
    </row>
    <row r="246" spans="1:38" s="1372" customFormat="1">
      <c r="A246" s="1370" t="s">
        <v>1076</v>
      </c>
      <c r="B246" s="1370">
        <v>13990118.92</v>
      </c>
      <c r="C246" s="1402">
        <v>1.5E-3</v>
      </c>
      <c r="D246" s="1448">
        <v>13472724.26</v>
      </c>
      <c r="E246" s="1448">
        <v>517394.66</v>
      </c>
      <c r="F246" s="1387">
        <v>87</v>
      </c>
      <c r="G246" s="1402">
        <v>9.5E-4</v>
      </c>
      <c r="O246" s="1375"/>
      <c r="P246" s="1375"/>
      <c r="Q246" s="1375"/>
      <c r="R246" s="1375"/>
      <c r="S246" s="1375"/>
      <c r="T246" s="1375"/>
      <c r="U246" s="1375"/>
      <c r="V246" s="1375"/>
      <c r="W246" s="1375"/>
      <c r="X246" s="1375"/>
      <c r="Y246" s="1375"/>
      <c r="Z246" s="1375"/>
      <c r="AA246" s="1375"/>
      <c r="AB246" s="1375"/>
      <c r="AC246" s="1375"/>
      <c r="AD246" s="1375"/>
      <c r="AE246" s="1375"/>
      <c r="AF246" s="1375"/>
      <c r="AG246" s="1375"/>
      <c r="AH246" s="1375"/>
      <c r="AI246" s="1375"/>
      <c r="AJ246" s="1375"/>
      <c r="AK246" s="1375"/>
      <c r="AL246" s="1375"/>
    </row>
    <row r="247" spans="1:38" s="1372" customFormat="1">
      <c r="A247" s="1370" t="s">
        <v>1077</v>
      </c>
      <c r="B247" s="1370">
        <v>33352967.120000001</v>
      </c>
      <c r="C247" s="1402">
        <v>3.5899999999999999E-3</v>
      </c>
      <c r="D247" s="1448">
        <v>33352967.120000001</v>
      </c>
      <c r="E247" s="1448">
        <v>0</v>
      </c>
      <c r="F247" s="1387">
        <v>227</v>
      </c>
      <c r="G247" s="1402">
        <v>2.49E-3</v>
      </c>
      <c r="O247" s="1375"/>
      <c r="P247" s="1375"/>
      <c r="Q247" s="1375"/>
      <c r="R247" s="1375"/>
      <c r="S247" s="1375"/>
      <c r="T247" s="1375"/>
      <c r="U247" s="1375"/>
      <c r="V247" s="1375"/>
      <c r="W247" s="1375"/>
      <c r="X247" s="1375"/>
      <c r="Y247" s="1375"/>
      <c r="Z247" s="1375"/>
      <c r="AA247" s="1375"/>
      <c r="AB247" s="1375"/>
      <c r="AC247" s="1375"/>
      <c r="AD247" s="1375"/>
      <c r="AE247" s="1375"/>
      <c r="AF247" s="1375"/>
      <c r="AG247" s="1375"/>
      <c r="AH247" s="1375"/>
      <c r="AI247" s="1375"/>
      <c r="AJ247" s="1375"/>
      <c r="AK247" s="1375"/>
      <c r="AL247" s="1375"/>
    </row>
    <row r="248" spans="1:38" s="1372" customFormat="1" ht="13.5" thickBot="1">
      <c r="A248" s="1407" t="s">
        <v>803</v>
      </c>
      <c r="B248" s="1393">
        <v>9300995038.3100033</v>
      </c>
      <c r="C248" s="1449">
        <v>1.00003</v>
      </c>
      <c r="D248" s="1450">
        <v>5524007458.5599985</v>
      </c>
      <c r="E248" s="1450">
        <v>3776987579.7499995</v>
      </c>
      <c r="F248" s="1391">
        <v>91137</v>
      </c>
      <c r="G248" s="1449">
        <v>1.0000099999999998</v>
      </c>
      <c r="O248" s="1375"/>
      <c r="P248" s="1375"/>
      <c r="Q248" s="1375"/>
      <c r="R248" s="1375"/>
      <c r="S248" s="1375"/>
      <c r="T248" s="1375"/>
      <c r="U248" s="1375"/>
      <c r="V248" s="1375"/>
      <c r="W248" s="1375"/>
      <c r="X248" s="1375"/>
      <c r="Y248" s="1375"/>
      <c r="Z248" s="1375"/>
      <c r="AA248" s="1375"/>
      <c r="AB248" s="1375"/>
      <c r="AC248" s="1375"/>
      <c r="AD248" s="1375"/>
      <c r="AE248" s="1375"/>
      <c r="AF248" s="1375"/>
      <c r="AG248" s="1375"/>
      <c r="AH248" s="1375"/>
      <c r="AI248" s="1375"/>
      <c r="AJ248" s="1375"/>
      <c r="AK248" s="1375"/>
      <c r="AL248" s="1375"/>
    </row>
    <row r="249" spans="1:38" s="1372" customFormat="1" ht="13.5" thickTop="1">
      <c r="A249" s="1429"/>
      <c r="B249" s="1375"/>
      <c r="C249" s="1375"/>
      <c r="D249" s="1438"/>
      <c r="E249" s="1375"/>
      <c r="F249" s="1375"/>
      <c r="M249" s="1375"/>
      <c r="N249" s="1375"/>
      <c r="O249" s="1375"/>
      <c r="P249" s="1375"/>
      <c r="Q249" s="1375"/>
      <c r="R249" s="1375"/>
      <c r="S249" s="1375"/>
      <c r="T249" s="1375"/>
      <c r="U249" s="1375"/>
      <c r="V249" s="1375"/>
      <c r="W249" s="1375"/>
      <c r="X249" s="1375"/>
      <c r="Y249" s="1375"/>
      <c r="Z249" s="1375"/>
      <c r="AA249" s="1375"/>
      <c r="AB249" s="1375"/>
      <c r="AC249" s="1375"/>
      <c r="AD249" s="1375"/>
      <c r="AE249" s="1375"/>
      <c r="AF249" s="1375"/>
      <c r="AG249" s="1375"/>
      <c r="AH249" s="1375"/>
      <c r="AI249" s="1375"/>
      <c r="AJ249" s="1375"/>
    </row>
    <row r="250" spans="1:38" s="1372" customFormat="1">
      <c r="A250" s="1429"/>
      <c r="B250" s="1375"/>
      <c r="C250" s="1375"/>
      <c r="D250" s="1438"/>
      <c r="E250" s="1375"/>
      <c r="F250" s="1375"/>
      <c r="M250" s="1375"/>
      <c r="N250" s="1375"/>
      <c r="O250" s="1375"/>
      <c r="P250" s="1375"/>
      <c r="Q250" s="1375"/>
      <c r="R250" s="1375"/>
      <c r="S250" s="1375"/>
      <c r="T250" s="1375"/>
      <c r="U250" s="1375"/>
      <c r="V250" s="1375"/>
      <c r="W250" s="1375"/>
      <c r="X250" s="1375"/>
      <c r="Y250" s="1375"/>
      <c r="Z250" s="1375"/>
      <c r="AA250" s="1375"/>
      <c r="AB250" s="1375"/>
      <c r="AC250" s="1375"/>
      <c r="AD250" s="1375"/>
      <c r="AE250" s="1375"/>
      <c r="AF250" s="1375"/>
      <c r="AG250" s="1375"/>
      <c r="AH250" s="1375"/>
      <c r="AI250" s="1375"/>
      <c r="AJ250" s="1375"/>
    </row>
    <row r="251" spans="1:38" s="1372" customFormat="1" ht="15.75">
      <c r="A251" s="1408" t="s">
        <v>851</v>
      </c>
      <c r="B251" s="1370"/>
      <c r="C251" s="1371"/>
      <c r="D251" s="1370"/>
      <c r="E251" s="1371"/>
      <c r="F251" s="1409"/>
      <c r="G251" s="1386"/>
      <c r="M251" s="1375"/>
      <c r="N251" s="1375"/>
      <c r="O251" s="1375"/>
      <c r="P251" s="1375"/>
      <c r="Q251" s="1375"/>
      <c r="R251" s="1375"/>
      <c r="S251" s="1375"/>
      <c r="T251" s="1375"/>
      <c r="U251" s="1375"/>
      <c r="V251" s="1375"/>
      <c r="W251" s="1375"/>
      <c r="X251" s="1375"/>
      <c r="Y251" s="1375"/>
      <c r="Z251" s="1375"/>
      <c r="AA251" s="1375"/>
      <c r="AB251" s="1375"/>
      <c r="AC251" s="1375"/>
      <c r="AD251" s="1375"/>
      <c r="AE251" s="1375"/>
      <c r="AF251" s="1375"/>
      <c r="AG251" s="1375"/>
      <c r="AH251" s="1375"/>
      <c r="AI251" s="1375"/>
      <c r="AJ251" s="1375"/>
    </row>
    <row r="252" spans="1:38" s="1411" customFormat="1" ht="25.5">
      <c r="A252" s="1405" t="s">
        <v>621</v>
      </c>
      <c r="B252" s="1380" t="s">
        <v>948</v>
      </c>
      <c r="C252" s="1381" t="s">
        <v>1010</v>
      </c>
      <c r="D252" s="1441" t="s">
        <v>947</v>
      </c>
      <c r="E252" s="1381" t="s">
        <v>1010</v>
      </c>
      <c r="F252" s="1380" t="s">
        <v>1011</v>
      </c>
      <c r="G252" s="1381" t="s">
        <v>1010</v>
      </c>
      <c r="M252" s="1412"/>
      <c r="N252" s="1412"/>
      <c r="O252" s="1412"/>
      <c r="P252" s="1412"/>
      <c r="Q252" s="1412"/>
      <c r="R252" s="1412"/>
      <c r="S252" s="1412"/>
      <c r="T252" s="1412"/>
      <c r="U252" s="1412"/>
      <c r="V252" s="1412"/>
      <c r="W252" s="1412"/>
      <c r="X252" s="1412"/>
      <c r="Y252" s="1412"/>
      <c r="Z252" s="1412"/>
      <c r="AA252" s="1412"/>
      <c r="AB252" s="1412"/>
      <c r="AC252" s="1412"/>
      <c r="AD252" s="1412"/>
      <c r="AE252" s="1412"/>
      <c r="AF252" s="1412"/>
      <c r="AG252" s="1412"/>
      <c r="AH252" s="1412"/>
      <c r="AI252" s="1412"/>
      <c r="AJ252" s="1412"/>
    </row>
    <row r="253" spans="1:38" s="1372" customFormat="1">
      <c r="A253" s="1395" t="s">
        <v>330</v>
      </c>
      <c r="B253" s="1370" t="s">
        <v>948</v>
      </c>
      <c r="C253" s="1386" t="s">
        <v>891</v>
      </c>
      <c r="D253" s="1451" t="s">
        <v>947</v>
      </c>
      <c r="E253" s="1386" t="s">
        <v>891</v>
      </c>
      <c r="F253" s="1387" t="s">
        <v>85</v>
      </c>
      <c r="G253" s="1386" t="s">
        <v>726</v>
      </c>
      <c r="M253" s="1375"/>
      <c r="N253" s="1375"/>
      <c r="O253" s="1375"/>
      <c r="P253" s="1375"/>
      <c r="Q253" s="1375"/>
      <c r="R253" s="1375"/>
      <c r="S253" s="1375"/>
      <c r="T253" s="1375"/>
      <c r="U253" s="1375"/>
      <c r="V253" s="1375"/>
      <c r="W253" s="1375"/>
      <c r="X253" s="1375"/>
      <c r="Y253" s="1375"/>
      <c r="Z253" s="1375"/>
      <c r="AA253" s="1375"/>
      <c r="AB253" s="1375"/>
      <c r="AC253" s="1375"/>
      <c r="AD253" s="1375"/>
      <c r="AE253" s="1375"/>
      <c r="AF253" s="1375"/>
      <c r="AG253" s="1375"/>
      <c r="AH253" s="1375"/>
      <c r="AI253" s="1375"/>
      <c r="AJ253" s="1375"/>
    </row>
    <row r="254" spans="1:38" s="1372" customFormat="1">
      <c r="A254" s="1395" t="s">
        <v>979</v>
      </c>
      <c r="B254" s="1370">
        <v>65476739.920000002</v>
      </c>
      <c r="C254" s="1386">
        <v>4.2779999999999999E-2</v>
      </c>
      <c r="D254" s="1451">
        <v>703334.89</v>
      </c>
      <c r="E254" s="1386">
        <v>1.0149999999999999E-2</v>
      </c>
      <c r="F254" s="1387">
        <v>518</v>
      </c>
      <c r="G254" s="1386">
        <v>3.4349999999999999E-2</v>
      </c>
      <c r="M254" s="1375"/>
      <c r="N254" s="1375"/>
      <c r="O254" s="1375"/>
      <c r="P254" s="1375"/>
      <c r="Q254" s="1375"/>
      <c r="R254" s="1375"/>
      <c r="S254" s="1375"/>
      <c r="T254" s="1375"/>
      <c r="U254" s="1375"/>
      <c r="V254" s="1375"/>
      <c r="W254" s="1375"/>
      <c r="X254" s="1375"/>
      <c r="Y254" s="1375"/>
      <c r="Z254" s="1375"/>
      <c r="AA254" s="1375"/>
      <c r="AB254" s="1375"/>
      <c r="AC254" s="1375"/>
      <c r="AD254" s="1375"/>
      <c r="AE254" s="1375"/>
      <c r="AF254" s="1375"/>
      <c r="AG254" s="1375"/>
      <c r="AH254" s="1375"/>
      <c r="AI254" s="1375"/>
      <c r="AJ254" s="1375"/>
    </row>
    <row r="255" spans="1:38" s="1372" customFormat="1">
      <c r="A255" s="1395" t="s">
        <v>546</v>
      </c>
      <c r="B255" s="1370">
        <v>254338694.90000001</v>
      </c>
      <c r="C255" s="1386">
        <v>0.16619</v>
      </c>
      <c r="D255" s="1451">
        <v>5405140.0300000003</v>
      </c>
      <c r="E255" s="1386">
        <v>7.8030000000000002E-2</v>
      </c>
      <c r="F255" s="1387">
        <v>2100</v>
      </c>
      <c r="G255" s="1386">
        <v>0.13924</v>
      </c>
      <c r="M255" s="1375"/>
      <c r="N255" s="1375"/>
      <c r="O255" s="1375"/>
      <c r="P255" s="1375"/>
      <c r="Q255" s="1375"/>
      <c r="R255" s="1375"/>
      <c r="S255" s="1375"/>
      <c r="T255" s="1375"/>
      <c r="U255" s="1375"/>
      <c r="V255" s="1375"/>
      <c r="W255" s="1375"/>
      <c r="X255" s="1375"/>
      <c r="Y255" s="1375"/>
      <c r="Z255" s="1375"/>
      <c r="AA255" s="1375"/>
      <c r="AB255" s="1375"/>
      <c r="AC255" s="1375"/>
      <c r="AD255" s="1375"/>
      <c r="AE255" s="1375"/>
      <c r="AF255" s="1375"/>
      <c r="AG255" s="1375"/>
      <c r="AH255" s="1375"/>
      <c r="AI255" s="1375"/>
      <c r="AJ255" s="1375"/>
    </row>
    <row r="256" spans="1:38" s="1372" customFormat="1">
      <c r="A256" s="1395" t="s">
        <v>210</v>
      </c>
      <c r="B256" s="1370">
        <v>80454208.480000004</v>
      </c>
      <c r="C256" s="1386">
        <v>5.2569999999999999E-2</v>
      </c>
      <c r="D256" s="1451">
        <v>1148562.6100000001</v>
      </c>
      <c r="E256" s="1386">
        <v>1.6580000000000001E-2</v>
      </c>
      <c r="F256" s="1387">
        <v>660</v>
      </c>
      <c r="G256" s="1386">
        <v>4.376E-2</v>
      </c>
      <c r="M256" s="1375"/>
      <c r="N256" s="1375"/>
      <c r="O256" s="1375"/>
      <c r="P256" s="1375"/>
      <c r="Q256" s="1375"/>
      <c r="R256" s="1375"/>
      <c r="S256" s="1375"/>
      <c r="T256" s="1375"/>
      <c r="U256" s="1375"/>
      <c r="V256" s="1375"/>
      <c r="W256" s="1375"/>
      <c r="X256" s="1375"/>
      <c r="Y256" s="1375"/>
      <c r="Z256" s="1375"/>
      <c r="AA256" s="1375"/>
      <c r="AB256" s="1375"/>
      <c r="AC256" s="1375"/>
      <c r="AD256" s="1375"/>
      <c r="AE256" s="1375"/>
      <c r="AF256" s="1375"/>
      <c r="AG256" s="1375"/>
      <c r="AH256" s="1375"/>
      <c r="AI256" s="1375"/>
      <c r="AJ256" s="1375"/>
    </row>
    <row r="257" spans="1:36" s="1372" customFormat="1">
      <c r="A257" s="1395" t="s">
        <v>81</v>
      </c>
      <c r="B257" s="1370">
        <v>17522335.57</v>
      </c>
      <c r="C257" s="1386">
        <v>1.145E-2</v>
      </c>
      <c r="D257" s="1451">
        <v>731745.83</v>
      </c>
      <c r="E257" s="1386">
        <v>1.056E-2</v>
      </c>
      <c r="F257" s="1387">
        <v>128</v>
      </c>
      <c r="G257" s="1386">
        <v>8.4899999999999993E-3</v>
      </c>
      <c r="M257" s="1375"/>
      <c r="N257" s="1375"/>
      <c r="O257" s="1375"/>
      <c r="P257" s="1375"/>
      <c r="Q257" s="1375"/>
      <c r="R257" s="1375"/>
      <c r="S257" s="1375"/>
      <c r="T257" s="1375"/>
      <c r="U257" s="1375"/>
      <c r="V257" s="1375"/>
      <c r="W257" s="1375"/>
      <c r="X257" s="1375"/>
      <c r="Y257" s="1375"/>
      <c r="Z257" s="1375"/>
      <c r="AA257" s="1375"/>
      <c r="AB257" s="1375"/>
      <c r="AC257" s="1375"/>
      <c r="AD257" s="1375"/>
      <c r="AE257" s="1375"/>
      <c r="AF257" s="1375"/>
      <c r="AG257" s="1375"/>
      <c r="AH257" s="1375"/>
      <c r="AI257" s="1375"/>
      <c r="AJ257" s="1375"/>
    </row>
    <row r="258" spans="1:36" s="1372" customFormat="1">
      <c r="A258" s="1395" t="s">
        <v>418</v>
      </c>
      <c r="B258" s="1370">
        <v>65102043.890000001</v>
      </c>
      <c r="C258" s="1386">
        <v>4.2540000000000001E-2</v>
      </c>
      <c r="D258" s="1451">
        <v>1179362.56</v>
      </c>
      <c r="E258" s="1386">
        <v>1.703E-2</v>
      </c>
      <c r="F258" s="1387">
        <v>575</v>
      </c>
      <c r="G258" s="1386">
        <v>3.8120000000000001E-2</v>
      </c>
      <c r="M258" s="1375"/>
      <c r="N258" s="1375"/>
      <c r="O258" s="1375"/>
      <c r="P258" s="1375"/>
      <c r="Q258" s="1375"/>
      <c r="R258" s="1375"/>
      <c r="S258" s="1375"/>
      <c r="T258" s="1375"/>
      <c r="U258" s="1375"/>
      <c r="V258" s="1375"/>
      <c r="W258" s="1375"/>
      <c r="X258" s="1375"/>
      <c r="Y258" s="1375"/>
      <c r="Z258" s="1375"/>
      <c r="AA258" s="1375"/>
      <c r="AB258" s="1375"/>
      <c r="AC258" s="1375"/>
      <c r="AD258" s="1375"/>
      <c r="AE258" s="1375"/>
      <c r="AF258" s="1375"/>
      <c r="AG258" s="1375"/>
      <c r="AH258" s="1375"/>
      <c r="AI258" s="1375"/>
      <c r="AJ258" s="1375"/>
    </row>
    <row r="259" spans="1:36" s="1372" customFormat="1">
      <c r="A259" s="1395" t="s">
        <v>226</v>
      </c>
      <c r="B259" s="1370">
        <v>36484423.560000002</v>
      </c>
      <c r="C259" s="1386">
        <v>2.384E-2</v>
      </c>
      <c r="D259" s="1451">
        <v>971944.82</v>
      </c>
      <c r="E259" s="1386">
        <v>1.4030000000000001E-2</v>
      </c>
      <c r="F259" s="1387">
        <v>361</v>
      </c>
      <c r="G259" s="1386">
        <v>2.3939999999999999E-2</v>
      </c>
      <c r="M259" s="1375"/>
      <c r="N259" s="1375"/>
      <c r="O259" s="1375"/>
      <c r="P259" s="1375"/>
      <c r="Q259" s="1375"/>
      <c r="R259" s="1375"/>
      <c r="S259" s="1375"/>
      <c r="T259" s="1375"/>
      <c r="U259" s="1375"/>
      <c r="V259" s="1375"/>
      <c r="W259" s="1375"/>
      <c r="X259" s="1375"/>
      <c r="Y259" s="1375"/>
      <c r="Z259" s="1375"/>
      <c r="AA259" s="1375"/>
      <c r="AB259" s="1375"/>
      <c r="AC259" s="1375"/>
      <c r="AD259" s="1375"/>
      <c r="AE259" s="1375"/>
      <c r="AF259" s="1375"/>
      <c r="AG259" s="1375"/>
      <c r="AH259" s="1375"/>
      <c r="AI259" s="1375"/>
      <c r="AJ259" s="1375"/>
    </row>
    <row r="260" spans="1:36" s="1372" customFormat="1">
      <c r="A260" s="1395" t="s">
        <v>419</v>
      </c>
      <c r="B260" s="1370">
        <v>17601599.93</v>
      </c>
      <c r="C260" s="1386">
        <v>1.15E-2</v>
      </c>
      <c r="D260" s="1451">
        <v>250060.84</v>
      </c>
      <c r="E260" s="1386">
        <v>3.6099999999999999E-3</v>
      </c>
      <c r="F260" s="1387">
        <v>149</v>
      </c>
      <c r="G260" s="1386">
        <v>9.8799999999999999E-3</v>
      </c>
      <c r="M260" s="1375"/>
      <c r="N260" s="1375"/>
      <c r="O260" s="1375"/>
      <c r="P260" s="1375"/>
      <c r="Q260" s="1375"/>
      <c r="R260" s="1375"/>
      <c r="S260" s="1375"/>
      <c r="T260" s="1375"/>
      <c r="U260" s="1375"/>
      <c r="V260" s="1375"/>
      <c r="W260" s="1375"/>
      <c r="X260" s="1375"/>
      <c r="Y260" s="1375"/>
      <c r="Z260" s="1375"/>
      <c r="AA260" s="1375"/>
      <c r="AB260" s="1375"/>
      <c r="AC260" s="1375"/>
      <c r="AD260" s="1375"/>
      <c r="AE260" s="1375"/>
      <c r="AF260" s="1375"/>
      <c r="AG260" s="1375"/>
      <c r="AH260" s="1375"/>
      <c r="AI260" s="1375"/>
      <c r="AJ260" s="1375"/>
    </row>
    <row r="261" spans="1:36" s="1372" customFormat="1">
      <c r="A261" s="1395" t="s">
        <v>783</v>
      </c>
      <c r="B261" s="1370">
        <v>4636188.1900000004</v>
      </c>
      <c r="C261" s="1386">
        <v>3.0300000000000001E-3</v>
      </c>
      <c r="D261" s="1451">
        <v>285452.53999999998</v>
      </c>
      <c r="E261" s="1386">
        <v>4.1200000000000004E-3</v>
      </c>
      <c r="F261" s="1387">
        <v>51</v>
      </c>
      <c r="G261" s="1386">
        <v>3.3800000000000002E-3</v>
      </c>
      <c r="M261" s="1375"/>
      <c r="N261" s="1375"/>
      <c r="O261" s="1375"/>
      <c r="P261" s="1375"/>
      <c r="Q261" s="1375"/>
      <c r="R261" s="1375"/>
      <c r="S261" s="1375"/>
      <c r="T261" s="1375"/>
      <c r="U261" s="1375"/>
      <c r="V261" s="1375"/>
      <c r="W261" s="1375"/>
      <c r="X261" s="1375"/>
      <c r="Y261" s="1375"/>
      <c r="Z261" s="1375"/>
      <c r="AA261" s="1375"/>
      <c r="AB261" s="1375"/>
      <c r="AC261" s="1375"/>
      <c r="AD261" s="1375"/>
      <c r="AE261" s="1375"/>
      <c r="AF261" s="1375"/>
      <c r="AG261" s="1375"/>
      <c r="AH261" s="1375"/>
      <c r="AI261" s="1375"/>
      <c r="AJ261" s="1375"/>
    </row>
    <row r="262" spans="1:36" s="1372" customFormat="1">
      <c r="A262" s="1395" t="s">
        <v>391</v>
      </c>
      <c r="B262" s="1370">
        <v>10923741.24</v>
      </c>
      <c r="C262" s="1386">
        <v>7.1399999999999996E-3</v>
      </c>
      <c r="D262" s="1451">
        <v>434369.99</v>
      </c>
      <c r="E262" s="1386">
        <v>6.2700000000000004E-3</v>
      </c>
      <c r="F262" s="1387">
        <v>101</v>
      </c>
      <c r="G262" s="1386">
        <v>6.7000000000000002E-3</v>
      </c>
      <c r="M262" s="1375"/>
      <c r="N262" s="1375"/>
      <c r="O262" s="1375"/>
      <c r="P262" s="1375"/>
      <c r="Q262" s="1375"/>
      <c r="R262" s="1375"/>
      <c r="S262" s="1375"/>
      <c r="T262" s="1375"/>
      <c r="U262" s="1375"/>
      <c r="V262" s="1375"/>
      <c r="W262" s="1375"/>
      <c r="X262" s="1375"/>
      <c r="Y262" s="1375"/>
      <c r="Z262" s="1375"/>
      <c r="AA262" s="1375"/>
      <c r="AB262" s="1375"/>
      <c r="AC262" s="1375"/>
      <c r="AD262" s="1375"/>
      <c r="AE262" s="1375"/>
      <c r="AF262" s="1375"/>
      <c r="AG262" s="1375"/>
      <c r="AH262" s="1375"/>
      <c r="AI262" s="1375"/>
      <c r="AJ262" s="1375"/>
    </row>
    <row r="263" spans="1:36" s="1372" customFormat="1">
      <c r="A263" s="1395" t="s">
        <v>227</v>
      </c>
      <c r="B263" s="1370">
        <v>14774528.1</v>
      </c>
      <c r="C263" s="1386">
        <v>9.6500000000000006E-3</v>
      </c>
      <c r="D263" s="1451">
        <v>742193.41</v>
      </c>
      <c r="E263" s="1386">
        <v>1.0710000000000001E-2</v>
      </c>
      <c r="F263" s="1387">
        <v>147</v>
      </c>
      <c r="G263" s="1386">
        <v>9.75E-3</v>
      </c>
      <c r="M263" s="1375"/>
      <c r="N263" s="1375"/>
      <c r="O263" s="1375"/>
      <c r="P263" s="1375"/>
      <c r="Q263" s="1375"/>
      <c r="R263" s="1375"/>
      <c r="S263" s="1375"/>
      <c r="T263" s="1375"/>
      <c r="U263" s="1375"/>
      <c r="V263" s="1375"/>
      <c r="W263" s="1375"/>
      <c r="X263" s="1375"/>
      <c r="Y263" s="1375"/>
      <c r="Z263" s="1375"/>
      <c r="AA263" s="1375"/>
      <c r="AB263" s="1375"/>
      <c r="AC263" s="1375"/>
      <c r="AD263" s="1375"/>
      <c r="AE263" s="1375"/>
      <c r="AF263" s="1375"/>
      <c r="AG263" s="1375"/>
      <c r="AH263" s="1375"/>
      <c r="AI263" s="1375"/>
      <c r="AJ263" s="1375"/>
    </row>
    <row r="264" spans="1:36" s="1372" customFormat="1">
      <c r="A264" s="1395" t="s">
        <v>38</v>
      </c>
      <c r="B264" s="1370">
        <v>3944362.05</v>
      </c>
      <c r="C264" s="1386">
        <v>2.5799999999999998E-3</v>
      </c>
      <c r="D264" s="1451">
        <v>88786.35</v>
      </c>
      <c r="E264" s="1386">
        <v>1.2800000000000001E-3</v>
      </c>
      <c r="F264" s="1387">
        <v>36</v>
      </c>
      <c r="G264" s="1386">
        <v>2.3900000000000002E-3</v>
      </c>
      <c r="M264" s="1375"/>
      <c r="N264" s="1375"/>
      <c r="O264" s="1375"/>
      <c r="P264" s="1375"/>
      <c r="Q264" s="1375"/>
      <c r="R264" s="1375"/>
      <c r="S264" s="1375"/>
      <c r="T264" s="1375"/>
      <c r="U264" s="1375"/>
      <c r="V264" s="1375"/>
      <c r="W264" s="1375"/>
      <c r="X264" s="1375"/>
      <c r="Y264" s="1375"/>
      <c r="Z264" s="1375"/>
      <c r="AA264" s="1375"/>
      <c r="AB264" s="1375"/>
      <c r="AC264" s="1375"/>
      <c r="AD264" s="1375"/>
      <c r="AE264" s="1375"/>
      <c r="AF264" s="1375"/>
      <c r="AG264" s="1375"/>
      <c r="AH264" s="1375"/>
      <c r="AI264" s="1375"/>
      <c r="AJ264" s="1375"/>
    </row>
    <row r="265" spans="1:36" s="1372" customFormat="1">
      <c r="A265" s="1395" t="s">
        <v>228</v>
      </c>
      <c r="B265" s="1370">
        <v>7335870.0899999999</v>
      </c>
      <c r="C265" s="1386">
        <v>4.79E-3</v>
      </c>
      <c r="D265" s="1451">
        <v>176958.7</v>
      </c>
      <c r="E265" s="1386">
        <v>2.5500000000000002E-3</v>
      </c>
      <c r="F265" s="1387">
        <v>66</v>
      </c>
      <c r="G265" s="1386">
        <v>4.3800000000000002E-3</v>
      </c>
      <c r="M265" s="1375"/>
      <c r="N265" s="1375"/>
      <c r="O265" s="1375"/>
      <c r="P265" s="1375"/>
      <c r="Q265" s="1375"/>
      <c r="R265" s="1375"/>
      <c r="S265" s="1375"/>
      <c r="T265" s="1375"/>
      <c r="U265" s="1375"/>
      <c r="V265" s="1375"/>
      <c r="W265" s="1375"/>
      <c r="X265" s="1375"/>
      <c r="Y265" s="1375"/>
      <c r="Z265" s="1375"/>
      <c r="AA265" s="1375"/>
      <c r="AB265" s="1375"/>
      <c r="AC265" s="1375"/>
      <c r="AD265" s="1375"/>
      <c r="AE265" s="1375"/>
      <c r="AF265" s="1375"/>
      <c r="AG265" s="1375"/>
      <c r="AH265" s="1375"/>
      <c r="AI265" s="1375"/>
      <c r="AJ265" s="1375"/>
    </row>
    <row r="266" spans="1:36" s="1372" customFormat="1">
      <c r="A266" s="1395" t="s">
        <v>229</v>
      </c>
      <c r="B266" s="1370">
        <v>100887749.98</v>
      </c>
      <c r="C266" s="1386">
        <v>6.5920000000000006E-2</v>
      </c>
      <c r="D266" s="1451">
        <v>7695591.71</v>
      </c>
      <c r="E266" s="1386">
        <v>0.1111</v>
      </c>
      <c r="F266" s="1387">
        <v>1080</v>
      </c>
      <c r="G266" s="1386">
        <v>7.1609999999999993E-2</v>
      </c>
      <c r="M266" s="1375"/>
      <c r="N266" s="1375"/>
      <c r="O266" s="1375"/>
      <c r="P266" s="1375"/>
      <c r="Q266" s="1375"/>
      <c r="R266" s="1375"/>
      <c r="S266" s="1375"/>
      <c r="T266" s="1375"/>
      <c r="U266" s="1375"/>
      <c r="V266" s="1375"/>
      <c r="W266" s="1375"/>
      <c r="X266" s="1375"/>
      <c r="Y266" s="1375"/>
      <c r="Z266" s="1375"/>
      <c r="AA266" s="1375"/>
      <c r="AB266" s="1375"/>
      <c r="AC266" s="1375"/>
      <c r="AD266" s="1375"/>
      <c r="AE266" s="1375"/>
      <c r="AF266" s="1375"/>
      <c r="AG266" s="1375"/>
      <c r="AH266" s="1375"/>
      <c r="AI266" s="1375"/>
      <c r="AJ266" s="1375"/>
    </row>
    <row r="267" spans="1:36" s="1372" customFormat="1">
      <c r="A267" s="1395" t="s">
        <v>230</v>
      </c>
      <c r="B267" s="1370">
        <v>21854512.039999999</v>
      </c>
      <c r="C267" s="1386">
        <v>1.4279999999999999E-2</v>
      </c>
      <c r="D267" s="1451">
        <v>1126009.6499999999</v>
      </c>
      <c r="E267" s="1386">
        <v>1.626E-2</v>
      </c>
      <c r="F267" s="1387">
        <v>200</v>
      </c>
      <c r="G267" s="1386">
        <v>1.3259999999999999E-2</v>
      </c>
      <c r="M267" s="1375"/>
      <c r="N267" s="1375"/>
      <c r="O267" s="1375"/>
      <c r="P267" s="1375"/>
      <c r="Q267" s="1375"/>
      <c r="R267" s="1375"/>
      <c r="S267" s="1375"/>
      <c r="T267" s="1375"/>
      <c r="U267" s="1375"/>
      <c r="V267" s="1375"/>
      <c r="W267" s="1375"/>
      <c r="X267" s="1375"/>
      <c r="Y267" s="1375"/>
      <c r="Z267" s="1375"/>
      <c r="AA267" s="1375"/>
      <c r="AB267" s="1375"/>
      <c r="AC267" s="1375"/>
      <c r="AD267" s="1375"/>
      <c r="AE267" s="1375"/>
      <c r="AF267" s="1375"/>
      <c r="AG267" s="1375"/>
      <c r="AH267" s="1375"/>
      <c r="AI267" s="1375"/>
      <c r="AJ267" s="1375"/>
    </row>
    <row r="268" spans="1:36" s="1372" customFormat="1">
      <c r="A268" s="1395" t="s">
        <v>231</v>
      </c>
      <c r="B268" s="1370">
        <v>122109915.18000001</v>
      </c>
      <c r="C268" s="1386">
        <v>7.979E-2</v>
      </c>
      <c r="D268" s="1451">
        <v>6197994.1799999997</v>
      </c>
      <c r="E268" s="1386">
        <v>8.9480000000000004E-2</v>
      </c>
      <c r="F268" s="1387">
        <v>1269</v>
      </c>
      <c r="G268" s="1386">
        <v>8.4140000000000006E-2</v>
      </c>
      <c r="M268" s="1375"/>
      <c r="N268" s="1375"/>
      <c r="O268" s="1375"/>
      <c r="P268" s="1375"/>
      <c r="Q268" s="1375"/>
      <c r="R268" s="1375"/>
      <c r="S268" s="1375"/>
      <c r="T268" s="1375"/>
      <c r="U268" s="1375"/>
      <c r="V268" s="1375"/>
      <c r="W268" s="1375"/>
      <c r="X268" s="1375"/>
      <c r="Y268" s="1375"/>
      <c r="Z268" s="1375"/>
      <c r="AA268" s="1375"/>
      <c r="AB268" s="1375"/>
      <c r="AC268" s="1375"/>
      <c r="AD268" s="1375"/>
      <c r="AE268" s="1375"/>
      <c r="AF268" s="1375"/>
      <c r="AG268" s="1375"/>
      <c r="AH268" s="1375"/>
      <c r="AI268" s="1375"/>
      <c r="AJ268" s="1375"/>
    </row>
    <row r="269" spans="1:36" s="1372" customFormat="1">
      <c r="A269" s="1395" t="s">
        <v>232</v>
      </c>
      <c r="B269" s="1370">
        <v>220043384.34</v>
      </c>
      <c r="C269" s="1386">
        <v>0.14377999999999999</v>
      </c>
      <c r="D269" s="1451">
        <v>15848748.07</v>
      </c>
      <c r="E269" s="1386">
        <v>0.22881000000000001</v>
      </c>
      <c r="F269" s="1387">
        <v>2382</v>
      </c>
      <c r="G269" s="1386">
        <v>0.15794</v>
      </c>
      <c r="M269" s="1375"/>
      <c r="N269" s="1375"/>
      <c r="O269" s="1375"/>
      <c r="P269" s="1375"/>
      <c r="Q269" s="1375"/>
      <c r="R269" s="1375"/>
      <c r="S269" s="1375"/>
      <c r="T269" s="1375"/>
      <c r="U269" s="1375"/>
      <c r="V269" s="1375"/>
      <c r="W269" s="1375"/>
      <c r="X269" s="1375"/>
      <c r="Y269" s="1375"/>
      <c r="Z269" s="1375"/>
      <c r="AA269" s="1375"/>
      <c r="AB269" s="1375"/>
      <c r="AC269" s="1375"/>
      <c r="AD269" s="1375"/>
      <c r="AE269" s="1375"/>
      <c r="AF269" s="1375"/>
      <c r="AG269" s="1375"/>
      <c r="AH269" s="1375"/>
      <c r="AI269" s="1375"/>
      <c r="AJ269" s="1375"/>
    </row>
    <row r="270" spans="1:36" s="1372" customFormat="1">
      <c r="A270" s="1395" t="s">
        <v>233</v>
      </c>
      <c r="B270" s="1370">
        <v>197429489.84</v>
      </c>
      <c r="C270" s="1386">
        <v>0.129</v>
      </c>
      <c r="D270" s="1451">
        <v>13556428.699999999</v>
      </c>
      <c r="E270" s="1386">
        <v>0.19571</v>
      </c>
      <c r="F270" s="1387">
        <v>2189</v>
      </c>
      <c r="G270" s="1386">
        <v>0.14513999999999999</v>
      </c>
      <c r="I270" s="1452"/>
      <c r="M270" s="1375"/>
      <c r="N270" s="1375"/>
      <c r="O270" s="1375"/>
      <c r="P270" s="1375"/>
      <c r="Q270" s="1375"/>
      <c r="R270" s="1375"/>
      <c r="S270" s="1375"/>
      <c r="T270" s="1375"/>
      <c r="U270" s="1375"/>
      <c r="V270" s="1375"/>
      <c r="W270" s="1375"/>
      <c r="X270" s="1375"/>
      <c r="Y270" s="1375"/>
      <c r="Z270" s="1375"/>
      <c r="AA270" s="1375"/>
      <c r="AB270" s="1375"/>
      <c r="AC270" s="1375"/>
      <c r="AD270" s="1375"/>
      <c r="AE270" s="1375"/>
      <c r="AF270" s="1375"/>
      <c r="AG270" s="1375"/>
      <c r="AH270" s="1375"/>
      <c r="AI270" s="1375"/>
      <c r="AJ270" s="1375"/>
    </row>
    <row r="271" spans="1:36" s="1372" customFormat="1">
      <c r="A271" s="1395" t="s">
        <v>714</v>
      </c>
      <c r="B271" s="1370">
        <v>33877084.270000003</v>
      </c>
      <c r="C271" s="1386">
        <v>2.214E-2</v>
      </c>
      <c r="D271" s="1451">
        <v>2647968.09</v>
      </c>
      <c r="E271" s="1386">
        <v>3.823E-2</v>
      </c>
      <c r="F271" s="1387">
        <v>388</v>
      </c>
      <c r="G271" s="1386">
        <v>2.5729999999999999E-2</v>
      </c>
      <c r="M271" s="1375"/>
      <c r="N271" s="1375"/>
      <c r="O271" s="1375"/>
      <c r="P271" s="1375"/>
      <c r="Q271" s="1375"/>
      <c r="R271" s="1375"/>
      <c r="S271" s="1375"/>
      <c r="T271" s="1375"/>
      <c r="U271" s="1375"/>
      <c r="V271" s="1375"/>
      <c r="W271" s="1375"/>
      <c r="X271" s="1375"/>
      <c r="Y271" s="1375"/>
      <c r="Z271" s="1375"/>
      <c r="AA271" s="1375"/>
      <c r="AB271" s="1375"/>
      <c r="AC271" s="1375"/>
      <c r="AD271" s="1375"/>
      <c r="AE271" s="1375"/>
      <c r="AF271" s="1375"/>
      <c r="AG271" s="1375"/>
      <c r="AH271" s="1375"/>
      <c r="AI271" s="1375"/>
      <c r="AJ271" s="1375"/>
    </row>
    <row r="272" spans="1:36" s="1372" customFormat="1">
      <c r="A272" s="1395" t="s">
        <v>958</v>
      </c>
      <c r="B272" s="1370">
        <v>40588079.990000002</v>
      </c>
      <c r="C272" s="1386">
        <v>2.6519999999999998E-2</v>
      </c>
      <c r="D272" s="1451">
        <v>1715665.44</v>
      </c>
      <c r="E272" s="1386">
        <v>2.477E-2</v>
      </c>
      <c r="F272" s="1387">
        <v>394</v>
      </c>
      <c r="G272" s="1386">
        <v>2.6120000000000001E-2</v>
      </c>
      <c r="M272" s="1375"/>
      <c r="N272" s="1375"/>
      <c r="O272" s="1375"/>
      <c r="P272" s="1375"/>
      <c r="Q272" s="1375"/>
      <c r="R272" s="1375"/>
      <c r="S272" s="1375"/>
      <c r="T272" s="1375"/>
      <c r="U272" s="1375"/>
      <c r="V272" s="1375"/>
      <c r="W272" s="1375"/>
      <c r="X272" s="1375"/>
      <c r="Y272" s="1375"/>
      <c r="Z272" s="1375"/>
      <c r="AA272" s="1375"/>
      <c r="AB272" s="1375"/>
      <c r="AC272" s="1375"/>
      <c r="AD272" s="1375"/>
      <c r="AE272" s="1375"/>
      <c r="AF272" s="1375"/>
      <c r="AG272" s="1375"/>
      <c r="AH272" s="1375"/>
      <c r="AI272" s="1375"/>
      <c r="AJ272" s="1375"/>
    </row>
    <row r="273" spans="1:256" s="1372" customFormat="1">
      <c r="A273" s="1395" t="s">
        <v>980</v>
      </c>
      <c r="B273" s="1370">
        <v>21554735.91</v>
      </c>
      <c r="C273" s="1386">
        <v>1.4080000000000001E-2</v>
      </c>
      <c r="D273" s="1451">
        <v>1221865.29</v>
      </c>
      <c r="E273" s="1386">
        <v>1.7639999999999999E-2</v>
      </c>
      <c r="F273" s="1387">
        <v>223</v>
      </c>
      <c r="G273" s="1386">
        <v>1.4789999999999999E-2</v>
      </c>
      <c r="M273" s="1375"/>
      <c r="N273" s="1375"/>
      <c r="O273" s="1375"/>
      <c r="P273" s="1375"/>
      <c r="Q273" s="1375"/>
      <c r="R273" s="1375"/>
      <c r="S273" s="1375"/>
      <c r="T273" s="1375"/>
      <c r="U273" s="1375"/>
      <c r="V273" s="1375"/>
      <c r="W273" s="1375"/>
      <c r="X273" s="1375"/>
      <c r="Y273" s="1375"/>
      <c r="Z273" s="1375"/>
      <c r="AA273" s="1375"/>
      <c r="AB273" s="1375"/>
      <c r="AC273" s="1375"/>
      <c r="AD273" s="1375"/>
      <c r="AE273" s="1375"/>
      <c r="AF273" s="1375"/>
      <c r="AG273" s="1375"/>
      <c r="AH273" s="1375"/>
      <c r="AI273" s="1375"/>
      <c r="AJ273" s="1375"/>
    </row>
    <row r="274" spans="1:256" s="1372" customFormat="1">
      <c r="A274" s="1395" t="s">
        <v>547</v>
      </c>
      <c r="B274" s="1370">
        <v>19767509.920000002</v>
      </c>
      <c r="C274" s="1386">
        <v>1.2919999999999999E-2</v>
      </c>
      <c r="D274" s="1451">
        <v>1212745.95</v>
      </c>
      <c r="E274" s="1386">
        <v>1.7510000000000001E-2</v>
      </c>
      <c r="F274" s="1387">
        <v>206</v>
      </c>
      <c r="G274" s="1386">
        <v>1.366E-2</v>
      </c>
      <c r="M274" s="1375"/>
      <c r="N274" s="1375"/>
      <c r="O274" s="1375"/>
      <c r="P274" s="1375"/>
      <c r="Q274" s="1375"/>
      <c r="R274" s="1375"/>
      <c r="S274" s="1375"/>
      <c r="T274" s="1375"/>
      <c r="U274" s="1375"/>
      <c r="V274" s="1375"/>
      <c r="W274" s="1375"/>
      <c r="X274" s="1375"/>
      <c r="Y274" s="1375"/>
      <c r="Z274" s="1375"/>
      <c r="AA274" s="1375"/>
      <c r="AB274" s="1375"/>
      <c r="AC274" s="1375"/>
      <c r="AD274" s="1375"/>
      <c r="AE274" s="1375"/>
      <c r="AF274" s="1375"/>
      <c r="AG274" s="1375"/>
      <c r="AH274" s="1375"/>
      <c r="AI274" s="1375"/>
      <c r="AJ274" s="1375"/>
    </row>
    <row r="275" spans="1:256" s="1372" customFormat="1">
      <c r="A275" s="1395" t="s">
        <v>74</v>
      </c>
      <c r="B275" s="1370">
        <v>167237129.53999999</v>
      </c>
      <c r="C275" s="1386">
        <v>0.10927000000000001</v>
      </c>
      <c r="D275" s="1451">
        <v>5677378.2800000003</v>
      </c>
      <c r="E275" s="1386">
        <v>8.1960000000000005E-2</v>
      </c>
      <c r="F275" s="1387">
        <v>1765</v>
      </c>
      <c r="G275" s="1386">
        <v>0.11703</v>
      </c>
      <c r="M275" s="1375"/>
      <c r="N275" s="1375"/>
      <c r="O275" s="1375"/>
      <c r="P275" s="1375"/>
      <c r="Q275" s="1375"/>
      <c r="R275" s="1375"/>
      <c r="S275" s="1375"/>
      <c r="T275" s="1375"/>
      <c r="U275" s="1375"/>
      <c r="V275" s="1375"/>
      <c r="W275" s="1375"/>
      <c r="X275" s="1375"/>
      <c r="Y275" s="1375"/>
      <c r="Z275" s="1375"/>
      <c r="AA275" s="1375"/>
      <c r="AB275" s="1375"/>
      <c r="AC275" s="1375"/>
      <c r="AD275" s="1375"/>
      <c r="AE275" s="1375"/>
      <c r="AF275" s="1375"/>
      <c r="AG275" s="1375"/>
      <c r="AH275" s="1375"/>
      <c r="AI275" s="1375"/>
      <c r="AJ275" s="1375"/>
    </row>
    <row r="276" spans="1:256" s="1372" customFormat="1">
      <c r="A276" s="1395" t="s">
        <v>211</v>
      </c>
      <c r="B276" s="1370">
        <v>5941622.1200000001</v>
      </c>
      <c r="C276" s="1386">
        <v>3.8800000000000002E-3</v>
      </c>
      <c r="D276" s="1451">
        <v>217971.79</v>
      </c>
      <c r="E276" s="1386">
        <v>3.15E-3</v>
      </c>
      <c r="F276" s="1387">
        <v>87</v>
      </c>
      <c r="G276" s="1386">
        <v>5.77E-3</v>
      </c>
      <c r="M276" s="1375"/>
      <c r="N276" s="1375"/>
      <c r="O276" s="1375"/>
      <c r="P276" s="1375"/>
      <c r="Q276" s="1375"/>
      <c r="R276" s="1375"/>
      <c r="S276" s="1375"/>
      <c r="T276" s="1375"/>
      <c r="U276" s="1375"/>
      <c r="V276" s="1375"/>
      <c r="W276" s="1375"/>
      <c r="X276" s="1375"/>
      <c r="Y276" s="1375"/>
      <c r="Z276" s="1375"/>
      <c r="AA276" s="1375"/>
      <c r="AB276" s="1375"/>
      <c r="AC276" s="1375"/>
      <c r="AD276" s="1375"/>
      <c r="AE276" s="1375"/>
      <c r="AF276" s="1375"/>
      <c r="AG276" s="1375"/>
      <c r="AH276" s="1375"/>
      <c r="AI276" s="1375"/>
      <c r="AJ276" s="1375"/>
    </row>
    <row r="277" spans="1:256" s="1372" customFormat="1">
      <c r="A277" s="1395" t="s">
        <v>901</v>
      </c>
      <c r="B277" s="1370">
        <v>553714.66</v>
      </c>
      <c r="C277" s="1386">
        <v>3.6000000000000002E-4</v>
      </c>
      <c r="D277" s="1451">
        <v>30560.42</v>
      </c>
      <c r="E277" s="1386">
        <v>4.4000000000000002E-4</v>
      </c>
      <c r="F277" s="1387">
        <v>7</v>
      </c>
      <c r="G277" s="1386">
        <v>4.6000000000000001E-4</v>
      </c>
      <c r="M277" s="1375"/>
      <c r="N277" s="1375"/>
      <c r="O277" s="1375"/>
      <c r="P277" s="1375"/>
      <c r="Q277" s="1375"/>
      <c r="R277" s="1375"/>
      <c r="S277" s="1375"/>
      <c r="T277" s="1375"/>
      <c r="U277" s="1375"/>
      <c r="V277" s="1375"/>
      <c r="W277" s="1375"/>
      <c r="X277" s="1375"/>
      <c r="Y277" s="1375"/>
      <c r="Z277" s="1375"/>
      <c r="AA277" s="1375"/>
      <c r="AB277" s="1375"/>
      <c r="AC277" s="1375"/>
      <c r="AD277" s="1375"/>
      <c r="AE277" s="1375"/>
      <c r="AF277" s="1375"/>
      <c r="AG277" s="1375"/>
      <c r="AH277" s="1375"/>
      <c r="AI277" s="1375"/>
      <c r="AJ277" s="1375"/>
    </row>
    <row r="278" spans="1:256" s="1372" customFormat="1" ht="13.5" thickBot="1">
      <c r="A278" s="1404" t="s">
        <v>803</v>
      </c>
      <c r="B278" s="1393">
        <v>1530439663.7100003</v>
      </c>
      <c r="C278" s="1390">
        <v>1</v>
      </c>
      <c r="D278" s="1393">
        <v>69266840.140000001</v>
      </c>
      <c r="E278" s="1390">
        <v>0.99998000000000009</v>
      </c>
      <c r="F278" s="1393">
        <v>15082</v>
      </c>
      <c r="G278" s="1390">
        <v>1.00003</v>
      </c>
      <c r="H278" s="1428"/>
      <c r="I278" s="1428"/>
      <c r="J278" s="1428"/>
      <c r="K278" s="1428"/>
      <c r="M278" s="1375"/>
      <c r="N278" s="1375"/>
      <c r="O278" s="1375"/>
      <c r="P278" s="1375"/>
      <c r="Q278" s="1375"/>
      <c r="R278" s="1375"/>
      <c r="S278" s="1375"/>
      <c r="T278" s="1375"/>
      <c r="U278" s="1375"/>
      <c r="V278" s="1375"/>
      <c r="W278" s="1375"/>
      <c r="X278" s="1375"/>
      <c r="Y278" s="1375"/>
      <c r="Z278" s="1375"/>
      <c r="AA278" s="1375"/>
      <c r="AB278" s="1375"/>
      <c r="AC278" s="1375"/>
      <c r="AD278" s="1375"/>
      <c r="AE278" s="1375"/>
      <c r="AF278" s="1375"/>
      <c r="AG278" s="1375"/>
      <c r="AH278" s="1375"/>
      <c r="AI278" s="1375"/>
      <c r="AJ278" s="1375"/>
    </row>
    <row r="279" spans="1:256" s="1372" customFormat="1" ht="13.5" thickTop="1">
      <c r="H279" s="1375"/>
      <c r="I279" s="1375"/>
      <c r="J279" s="1375"/>
      <c r="K279" s="1375"/>
      <c r="L279" s="1428"/>
      <c r="M279" s="1375"/>
      <c r="N279" s="1375"/>
      <c r="O279" s="1375"/>
      <c r="P279" s="1375"/>
      <c r="Q279" s="1375"/>
      <c r="R279" s="1375"/>
      <c r="S279" s="1375"/>
      <c r="T279" s="1375"/>
      <c r="U279" s="1375"/>
      <c r="V279" s="1375"/>
      <c r="W279" s="1375"/>
      <c r="X279" s="1375"/>
      <c r="Y279" s="1375"/>
      <c r="Z279" s="1375"/>
      <c r="AA279" s="1375"/>
      <c r="AB279" s="1375"/>
      <c r="AC279" s="1375"/>
      <c r="AD279" s="1375"/>
      <c r="AE279" s="1375"/>
      <c r="AF279" s="1375"/>
      <c r="AG279" s="1375"/>
      <c r="AH279" s="1375"/>
      <c r="AI279" s="1375"/>
      <c r="AJ279" s="1375"/>
    </row>
    <row r="280" spans="1:256" s="1372" customFormat="1">
      <c r="A280" s="1394"/>
      <c r="B280" s="1370"/>
      <c r="C280" s="1386"/>
      <c r="D280" s="1451"/>
      <c r="E280" s="1386"/>
      <c r="F280" s="1387"/>
      <c r="G280" s="1386"/>
      <c r="H280" s="1375"/>
      <c r="I280" s="1375"/>
      <c r="J280" s="1375"/>
      <c r="K280" s="1375"/>
      <c r="L280" s="1428"/>
      <c r="M280" s="1375"/>
      <c r="N280" s="1375"/>
      <c r="O280" s="1375"/>
      <c r="P280" s="1375"/>
      <c r="Q280" s="1375"/>
      <c r="R280" s="1375"/>
      <c r="S280" s="1375"/>
      <c r="T280" s="1375"/>
      <c r="U280" s="1375"/>
      <c r="V280" s="1375"/>
      <c r="W280" s="1375"/>
      <c r="X280" s="1375"/>
      <c r="Y280" s="1375"/>
      <c r="Z280" s="1375"/>
      <c r="AA280" s="1375"/>
      <c r="AB280" s="1375"/>
      <c r="AC280" s="1375"/>
      <c r="AD280" s="1375"/>
      <c r="AE280" s="1375"/>
      <c r="AF280" s="1375"/>
      <c r="AG280" s="1375"/>
      <c r="AH280" s="1375"/>
      <c r="AI280" s="1375"/>
      <c r="AJ280" s="1375"/>
    </row>
    <row r="281" spans="1:256" s="1375" customFormat="1">
      <c r="H281" s="1372"/>
      <c r="I281" s="1372"/>
      <c r="J281" s="1372"/>
      <c r="K281" s="1372"/>
      <c r="AK281" s="1372"/>
      <c r="AL281" s="1372"/>
      <c r="AM281" s="1372"/>
      <c r="AN281" s="1372"/>
      <c r="AO281" s="1372"/>
      <c r="AP281" s="1372"/>
      <c r="AQ281" s="1372"/>
      <c r="AR281" s="1372"/>
      <c r="AS281" s="1372"/>
      <c r="AT281" s="1372"/>
      <c r="AU281" s="1372"/>
      <c r="AV281" s="1372"/>
      <c r="AW281" s="1372"/>
      <c r="AX281" s="1372"/>
      <c r="AY281" s="1372"/>
      <c r="AZ281" s="1372"/>
      <c r="BA281" s="1372"/>
      <c r="BB281" s="1372"/>
      <c r="BC281" s="1372"/>
      <c r="BD281" s="1372"/>
      <c r="BE281" s="1372"/>
      <c r="BF281" s="1372"/>
      <c r="BG281" s="1372"/>
      <c r="BH281" s="1372"/>
      <c r="BI281" s="1372"/>
      <c r="BJ281" s="1372"/>
      <c r="BK281" s="1372"/>
      <c r="BL281" s="1372"/>
      <c r="BM281" s="1372"/>
      <c r="BN281" s="1372"/>
      <c r="BO281" s="1372"/>
      <c r="BP281" s="1372"/>
      <c r="BQ281" s="1372"/>
      <c r="BR281" s="1372"/>
      <c r="BS281" s="1372"/>
      <c r="BT281" s="1372"/>
      <c r="BU281" s="1372"/>
      <c r="BV281" s="1372"/>
      <c r="BW281" s="1372"/>
      <c r="BX281" s="1372"/>
      <c r="BY281" s="1372"/>
      <c r="BZ281" s="1372"/>
      <c r="CA281" s="1372"/>
      <c r="CB281" s="1372"/>
      <c r="CC281" s="1372"/>
      <c r="CD281" s="1372"/>
      <c r="CE281" s="1372"/>
      <c r="CF281" s="1372"/>
      <c r="CG281" s="1372"/>
      <c r="CH281" s="1372"/>
      <c r="CI281" s="1372"/>
      <c r="CJ281" s="1372"/>
      <c r="CK281" s="1372"/>
      <c r="CL281" s="1372"/>
      <c r="CM281" s="1372"/>
      <c r="CN281" s="1372"/>
      <c r="CO281" s="1372"/>
      <c r="CP281" s="1372"/>
      <c r="CQ281" s="1372"/>
      <c r="CR281" s="1372"/>
      <c r="CS281" s="1372"/>
      <c r="CT281" s="1372"/>
      <c r="CU281" s="1372"/>
      <c r="CV281" s="1372"/>
      <c r="CW281" s="1372"/>
      <c r="CX281" s="1372"/>
      <c r="CY281" s="1372"/>
      <c r="CZ281" s="1372"/>
      <c r="DA281" s="1372"/>
      <c r="DB281" s="1372"/>
      <c r="DC281" s="1372"/>
      <c r="DD281" s="1372"/>
      <c r="DE281" s="1372"/>
      <c r="DF281" s="1372"/>
      <c r="DG281" s="1372"/>
      <c r="DH281" s="1372"/>
      <c r="DI281" s="1372"/>
      <c r="DJ281" s="1372"/>
      <c r="DK281" s="1372"/>
      <c r="DL281" s="1372"/>
      <c r="DM281" s="1372"/>
      <c r="DN281" s="1372"/>
      <c r="DO281" s="1372"/>
      <c r="DP281" s="1372"/>
      <c r="DQ281" s="1372"/>
      <c r="DR281" s="1372"/>
      <c r="DS281" s="1372"/>
      <c r="DT281" s="1372"/>
      <c r="DU281" s="1372"/>
      <c r="DV281" s="1372"/>
      <c r="DW281" s="1372"/>
      <c r="DX281" s="1372"/>
      <c r="DY281" s="1372"/>
      <c r="DZ281" s="1372"/>
      <c r="EA281" s="1372"/>
      <c r="EB281" s="1372"/>
      <c r="EC281" s="1372"/>
      <c r="ED281" s="1372"/>
      <c r="EE281" s="1372"/>
      <c r="EF281" s="1372"/>
      <c r="EG281" s="1372"/>
      <c r="EH281" s="1372"/>
      <c r="EI281" s="1372"/>
      <c r="EJ281" s="1372"/>
      <c r="EK281" s="1372"/>
      <c r="EL281" s="1372"/>
      <c r="EM281" s="1372"/>
      <c r="EN281" s="1372"/>
      <c r="EO281" s="1372"/>
      <c r="EP281" s="1372"/>
      <c r="EQ281" s="1372"/>
      <c r="ER281" s="1372"/>
      <c r="ES281" s="1372"/>
      <c r="ET281" s="1372"/>
      <c r="EU281" s="1372"/>
      <c r="EV281" s="1372"/>
      <c r="EW281" s="1372"/>
      <c r="EX281" s="1372"/>
      <c r="EY281" s="1372"/>
      <c r="EZ281" s="1372"/>
      <c r="FA281" s="1372"/>
      <c r="FB281" s="1372"/>
      <c r="FC281" s="1372"/>
      <c r="FD281" s="1372"/>
      <c r="FE281" s="1372"/>
      <c r="FF281" s="1372"/>
      <c r="FG281" s="1372"/>
      <c r="FH281" s="1372"/>
      <c r="FI281" s="1372"/>
      <c r="FJ281" s="1372"/>
      <c r="FK281" s="1372"/>
      <c r="FL281" s="1372"/>
      <c r="FM281" s="1372"/>
      <c r="FN281" s="1372"/>
      <c r="FO281" s="1372"/>
      <c r="FP281" s="1372"/>
      <c r="FQ281" s="1372"/>
      <c r="FR281" s="1372"/>
      <c r="FS281" s="1372"/>
      <c r="FT281" s="1372"/>
      <c r="FU281" s="1372"/>
      <c r="FV281" s="1372"/>
      <c r="FW281" s="1372"/>
      <c r="FX281" s="1372"/>
      <c r="FY281" s="1372"/>
      <c r="FZ281" s="1372"/>
      <c r="GA281" s="1372"/>
      <c r="GB281" s="1372"/>
      <c r="GC281" s="1372"/>
      <c r="GD281" s="1372"/>
      <c r="GE281" s="1372"/>
      <c r="GF281" s="1372"/>
      <c r="GG281" s="1372"/>
      <c r="GH281" s="1372"/>
      <c r="GI281" s="1372"/>
      <c r="GJ281" s="1372"/>
      <c r="GK281" s="1372"/>
      <c r="GL281" s="1372"/>
      <c r="GM281" s="1372"/>
      <c r="GN281" s="1372"/>
      <c r="GO281" s="1372"/>
      <c r="GP281" s="1372"/>
      <c r="GQ281" s="1372"/>
      <c r="GR281" s="1372"/>
      <c r="GS281" s="1372"/>
      <c r="GT281" s="1372"/>
      <c r="GU281" s="1372"/>
      <c r="GV281" s="1372"/>
      <c r="GW281" s="1372"/>
      <c r="GX281" s="1372"/>
      <c r="GY281" s="1372"/>
      <c r="GZ281" s="1372"/>
      <c r="HA281" s="1372"/>
      <c r="HB281" s="1372"/>
      <c r="HC281" s="1372"/>
      <c r="HD281" s="1372"/>
      <c r="HE281" s="1372"/>
      <c r="HF281" s="1372"/>
      <c r="HG281" s="1372"/>
      <c r="HH281" s="1372"/>
      <c r="HI281" s="1372"/>
      <c r="HJ281" s="1372"/>
      <c r="HK281" s="1372"/>
      <c r="HL281" s="1372"/>
      <c r="HM281" s="1372"/>
      <c r="HN281" s="1372"/>
      <c r="HO281" s="1372"/>
      <c r="HP281" s="1372"/>
      <c r="HQ281" s="1372"/>
      <c r="HR281" s="1372"/>
      <c r="HS281" s="1372"/>
      <c r="HT281" s="1372"/>
      <c r="HU281" s="1372"/>
      <c r="HV281" s="1372"/>
      <c r="HW281" s="1372"/>
      <c r="HX281" s="1372"/>
      <c r="HY281" s="1372"/>
      <c r="HZ281" s="1372"/>
      <c r="IA281" s="1372"/>
      <c r="IB281" s="1372"/>
      <c r="IC281" s="1372"/>
      <c r="ID281" s="1372"/>
      <c r="IE281" s="1372"/>
      <c r="IF281" s="1372"/>
      <c r="IG281" s="1372"/>
      <c r="IH281" s="1372"/>
      <c r="II281" s="1372"/>
      <c r="IJ281" s="1372"/>
      <c r="IK281" s="1372"/>
      <c r="IL281" s="1372"/>
      <c r="IM281" s="1372"/>
      <c r="IN281" s="1372"/>
      <c r="IO281" s="1372"/>
      <c r="IP281" s="1372"/>
      <c r="IQ281" s="1372"/>
      <c r="IR281" s="1372"/>
      <c r="IS281" s="1372"/>
      <c r="IT281" s="1372"/>
      <c r="IU281" s="1372"/>
      <c r="IV281" s="1372"/>
    </row>
    <row r="282" spans="1:256" s="1372" customFormat="1" ht="15.75">
      <c r="A282" s="1377" t="s">
        <v>234</v>
      </c>
      <c r="B282" s="1375"/>
      <c r="C282" s="1375"/>
      <c r="D282" s="1438"/>
      <c r="E282" s="1375"/>
      <c r="F282" s="1312"/>
      <c r="G282" s="1395"/>
      <c r="M282" s="1375"/>
      <c r="N282" s="1375"/>
      <c r="O282" s="1375"/>
      <c r="P282" s="1375"/>
      <c r="Q282" s="1375"/>
      <c r="R282" s="1375"/>
      <c r="S282" s="1375"/>
      <c r="T282" s="1375"/>
      <c r="U282" s="1375"/>
      <c r="V282" s="1375"/>
      <c r="W282" s="1375"/>
      <c r="X282" s="1375"/>
      <c r="Y282" s="1375"/>
      <c r="Z282" s="1375"/>
      <c r="AA282" s="1375"/>
      <c r="AB282" s="1375"/>
      <c r="AC282" s="1375"/>
      <c r="AD282" s="1375"/>
      <c r="AE282" s="1375"/>
      <c r="AF282" s="1375"/>
      <c r="AG282" s="1375"/>
      <c r="AH282" s="1375"/>
      <c r="AI282" s="1375"/>
      <c r="AJ282" s="1375"/>
    </row>
    <row r="283" spans="1:256" s="1372" customFormat="1" ht="25.5">
      <c r="A283" s="1430" t="s">
        <v>709</v>
      </c>
      <c r="B283" s="1380" t="s">
        <v>948</v>
      </c>
      <c r="C283" s="1381" t="s">
        <v>1010</v>
      </c>
      <c r="D283" s="1441" t="s">
        <v>947</v>
      </c>
      <c r="E283" s="1381" t="s">
        <v>1010</v>
      </c>
      <c r="F283" s="1380" t="s">
        <v>1011</v>
      </c>
      <c r="G283" s="1381" t="s">
        <v>1010</v>
      </c>
      <c r="M283" s="1375"/>
      <c r="N283" s="1375"/>
      <c r="O283" s="1375"/>
      <c r="P283" s="1375"/>
      <c r="Q283" s="1375"/>
      <c r="R283" s="1375"/>
      <c r="S283" s="1375"/>
      <c r="T283" s="1375"/>
      <c r="U283" s="1375"/>
      <c r="V283" s="1375"/>
      <c r="W283" s="1375"/>
      <c r="X283" s="1375"/>
      <c r="Y283" s="1375"/>
      <c r="Z283" s="1375"/>
      <c r="AA283" s="1375"/>
      <c r="AB283" s="1375"/>
      <c r="AC283" s="1375"/>
      <c r="AD283" s="1375"/>
      <c r="AE283" s="1375"/>
      <c r="AF283" s="1375"/>
      <c r="AG283" s="1375"/>
      <c r="AH283" s="1375"/>
      <c r="AI283" s="1375"/>
      <c r="AJ283" s="1375"/>
    </row>
    <row r="284" spans="1:256" s="1372" customFormat="1">
      <c r="A284" s="1426" t="s">
        <v>537</v>
      </c>
      <c r="B284" s="1403">
        <v>3657232489.98</v>
      </c>
      <c r="C284" s="1386">
        <v>0.41714000000000001</v>
      </c>
      <c r="D284" s="1403">
        <v>119755089.77</v>
      </c>
      <c r="E284" s="1386">
        <v>0.22442999999999999</v>
      </c>
      <c r="F284" s="1403">
        <v>28154</v>
      </c>
      <c r="G284" s="1386">
        <v>0.30891999999999997</v>
      </c>
      <c r="M284" s="1375"/>
      <c r="N284" s="1375"/>
      <c r="O284" s="1375"/>
      <c r="P284" s="1375"/>
      <c r="Q284" s="1375"/>
      <c r="R284" s="1375"/>
      <c r="S284" s="1375"/>
      <c r="T284" s="1375"/>
      <c r="U284" s="1375"/>
      <c r="V284" s="1375"/>
      <c r="W284" s="1375"/>
      <c r="X284" s="1375"/>
      <c r="Y284" s="1375"/>
      <c r="Z284" s="1375"/>
      <c r="AA284" s="1375"/>
      <c r="AB284" s="1375"/>
      <c r="AC284" s="1375"/>
      <c r="AD284" s="1375"/>
      <c r="AE284" s="1375"/>
      <c r="AF284" s="1375"/>
      <c r="AG284" s="1375"/>
      <c r="AH284" s="1375"/>
      <c r="AI284" s="1375"/>
      <c r="AJ284" s="1375"/>
    </row>
    <row r="285" spans="1:256" s="1372" customFormat="1">
      <c r="A285" s="1426" t="s">
        <v>1106</v>
      </c>
      <c r="B285" s="1403">
        <v>5110175006.8999996</v>
      </c>
      <c r="C285" s="1386">
        <v>0.58286000000000004</v>
      </c>
      <c r="D285" s="1403">
        <v>413832451.66000003</v>
      </c>
      <c r="E285" s="1386">
        <v>0.77556999999999998</v>
      </c>
      <c r="F285" s="1403">
        <v>62983</v>
      </c>
      <c r="G285" s="1386">
        <v>0.69108000000000003</v>
      </c>
      <c r="M285" s="1375"/>
      <c r="N285" s="1375"/>
      <c r="O285" s="1375"/>
      <c r="P285" s="1375"/>
      <c r="Q285" s="1375"/>
      <c r="R285" s="1375"/>
      <c r="S285" s="1375"/>
      <c r="T285" s="1375"/>
      <c r="U285" s="1375"/>
      <c r="V285" s="1375"/>
      <c r="W285" s="1375"/>
      <c r="X285" s="1375"/>
      <c r="Y285" s="1375"/>
      <c r="Z285" s="1375"/>
      <c r="AA285" s="1375"/>
      <c r="AB285" s="1375"/>
      <c r="AC285" s="1375"/>
      <c r="AD285" s="1375"/>
      <c r="AE285" s="1375"/>
      <c r="AF285" s="1375"/>
      <c r="AG285" s="1375"/>
      <c r="AH285" s="1375"/>
      <c r="AI285" s="1375"/>
      <c r="AJ285" s="1375"/>
    </row>
    <row r="286" spans="1:256" s="1372" customFormat="1" ht="13.5" thickBot="1">
      <c r="A286" s="1404" t="s">
        <v>803</v>
      </c>
      <c r="B286" s="1453">
        <v>8767407496.8799992</v>
      </c>
      <c r="C286" s="1390">
        <v>1</v>
      </c>
      <c r="D286" s="1453">
        <v>533587541.43000001</v>
      </c>
      <c r="E286" s="1390">
        <v>1</v>
      </c>
      <c r="F286" s="1453">
        <v>91137</v>
      </c>
      <c r="G286" s="1390">
        <v>1</v>
      </c>
      <c r="M286" s="1375"/>
      <c r="N286" s="1375"/>
      <c r="O286" s="1375"/>
      <c r="P286" s="1375"/>
      <c r="Q286" s="1375"/>
      <c r="R286" s="1375"/>
      <c r="S286" s="1375"/>
      <c r="T286" s="1375"/>
      <c r="U286" s="1375"/>
      <c r="V286" s="1375"/>
      <c r="W286" s="1375"/>
      <c r="X286" s="1375"/>
      <c r="Y286" s="1375"/>
      <c r="Z286" s="1375"/>
      <c r="AA286" s="1375"/>
      <c r="AB286" s="1375"/>
      <c r="AC286" s="1375"/>
      <c r="AD286" s="1375"/>
      <c r="AE286" s="1375"/>
      <c r="AF286" s="1375"/>
      <c r="AG286" s="1375"/>
      <c r="AH286" s="1375"/>
      <c r="AI286" s="1375"/>
      <c r="AJ286" s="1375"/>
    </row>
    <row r="287" spans="1:256" s="1372" customFormat="1" ht="13.5" thickTop="1">
      <c r="A287" s="1420"/>
      <c r="B287" s="1370"/>
      <c r="C287" s="1371"/>
      <c r="D287" s="1370"/>
      <c r="E287" s="1371"/>
      <c r="M287" s="1375"/>
      <c r="N287" s="1375"/>
      <c r="O287" s="1375"/>
      <c r="P287" s="1375"/>
      <c r="Q287" s="1375"/>
      <c r="R287" s="1375"/>
      <c r="S287" s="1375"/>
      <c r="T287" s="1375"/>
      <c r="U287" s="1375"/>
      <c r="V287" s="1375"/>
      <c r="W287" s="1375"/>
      <c r="X287" s="1375"/>
      <c r="Y287" s="1375"/>
      <c r="Z287" s="1375"/>
      <c r="AA287" s="1375"/>
      <c r="AB287" s="1375"/>
      <c r="AC287" s="1375"/>
      <c r="AD287" s="1375"/>
      <c r="AE287" s="1375"/>
      <c r="AF287" s="1375"/>
      <c r="AG287" s="1375"/>
      <c r="AH287" s="1375"/>
      <c r="AI287" s="1375"/>
      <c r="AJ287" s="1375"/>
    </row>
    <row r="288" spans="1:256" s="1372" customFormat="1">
      <c r="A288" s="1420"/>
      <c r="B288" s="1370" t="s">
        <v>622</v>
      </c>
      <c r="C288" s="1371"/>
      <c r="D288" s="1370"/>
      <c r="E288" s="1371"/>
      <c r="G288" s="1374"/>
      <c r="M288" s="1375"/>
      <c r="N288" s="1375"/>
      <c r="O288" s="1375"/>
      <c r="P288" s="1375"/>
      <c r="Q288" s="1375"/>
      <c r="R288" s="1375"/>
      <c r="S288" s="1375"/>
      <c r="T288" s="1375"/>
      <c r="U288" s="1375"/>
      <c r="V288" s="1375"/>
      <c r="W288" s="1375"/>
      <c r="X288" s="1375"/>
      <c r="Y288" s="1375"/>
      <c r="Z288" s="1375"/>
      <c r="AA288" s="1375"/>
      <c r="AB288" s="1375"/>
      <c r="AC288" s="1375"/>
      <c r="AD288" s="1375"/>
      <c r="AE288" s="1375"/>
      <c r="AF288" s="1375"/>
      <c r="AG288" s="1375"/>
      <c r="AH288" s="1375"/>
      <c r="AI288" s="1375"/>
      <c r="AJ288" s="1375"/>
    </row>
    <row r="289" spans="1:36" s="1372" customFormat="1" ht="15.75">
      <c r="A289" s="1377" t="s">
        <v>706</v>
      </c>
      <c r="B289" s="1375"/>
      <c r="C289" s="1386"/>
      <c r="D289" s="1370"/>
      <c r="E289" s="1386"/>
      <c r="G289" s="1452"/>
      <c r="M289" s="1375"/>
      <c r="N289" s="1375"/>
      <c r="O289" s="1375"/>
      <c r="P289" s="1375"/>
      <c r="Q289" s="1375"/>
      <c r="R289" s="1375"/>
      <c r="S289" s="1375"/>
      <c r="T289" s="1375"/>
      <c r="U289" s="1375"/>
      <c r="V289" s="1375"/>
      <c r="W289" s="1375"/>
      <c r="X289" s="1375"/>
      <c r="Y289" s="1375"/>
      <c r="Z289" s="1375"/>
      <c r="AA289" s="1375"/>
      <c r="AB289" s="1375"/>
      <c r="AC289" s="1375"/>
      <c r="AD289" s="1375"/>
      <c r="AE289" s="1375"/>
      <c r="AF289" s="1375"/>
      <c r="AG289" s="1375"/>
      <c r="AH289" s="1375"/>
      <c r="AI289" s="1375"/>
      <c r="AJ289" s="1375"/>
    </row>
    <row r="290" spans="1:36" s="1372" customFormat="1">
      <c r="A290" s="1401" t="s">
        <v>707</v>
      </c>
      <c r="B290" s="1380" t="s">
        <v>943</v>
      </c>
      <c r="C290" s="1381" t="s">
        <v>1010</v>
      </c>
      <c r="D290" s="1380" t="s">
        <v>892</v>
      </c>
      <c r="E290" s="1381" t="s">
        <v>1010</v>
      </c>
      <c r="M290" s="1375"/>
      <c r="N290" s="1375"/>
      <c r="O290" s="1375"/>
      <c r="P290" s="1375"/>
      <c r="Q290" s="1375"/>
      <c r="R290" s="1375"/>
      <c r="S290" s="1375"/>
      <c r="T290" s="1375"/>
      <c r="U290" s="1375"/>
      <c r="V290" s="1375"/>
      <c r="W290" s="1375"/>
      <c r="X290" s="1375"/>
      <c r="Y290" s="1375"/>
      <c r="Z290" s="1375"/>
      <c r="AA290" s="1375"/>
      <c r="AB290" s="1375"/>
      <c r="AC290" s="1375"/>
      <c r="AD290" s="1375"/>
      <c r="AE290" s="1375"/>
      <c r="AF290" s="1375"/>
      <c r="AG290" s="1375"/>
      <c r="AH290" s="1375"/>
      <c r="AI290" s="1375"/>
      <c r="AJ290" s="1375"/>
    </row>
    <row r="291" spans="1:36" s="1372" customFormat="1">
      <c r="A291" s="1384" t="s">
        <v>879</v>
      </c>
      <c r="B291" s="1370">
        <v>9133932978.7600002</v>
      </c>
      <c r="C291" s="1386">
        <v>0.98204000000000002</v>
      </c>
      <c r="D291" s="1387">
        <v>89637</v>
      </c>
      <c r="E291" s="1386">
        <v>0.98353999999999997</v>
      </c>
      <c r="M291" s="1375"/>
      <c r="N291" s="1375"/>
      <c r="O291" s="1375"/>
      <c r="P291" s="1375"/>
      <c r="Q291" s="1375"/>
      <c r="R291" s="1375"/>
      <c r="S291" s="1375"/>
      <c r="T291" s="1375"/>
      <c r="U291" s="1375"/>
      <c r="V291" s="1375"/>
      <c r="W291" s="1375"/>
      <c r="X291" s="1375"/>
      <c r="Y291" s="1375"/>
      <c r="Z291" s="1375"/>
      <c r="AA291" s="1375"/>
      <c r="AB291" s="1375"/>
      <c r="AC291" s="1375"/>
      <c r="AD291" s="1375"/>
      <c r="AE291" s="1375"/>
      <c r="AF291" s="1375"/>
      <c r="AG291" s="1375"/>
      <c r="AH291" s="1375"/>
      <c r="AI291" s="1375"/>
      <c r="AJ291" s="1375"/>
    </row>
    <row r="292" spans="1:36" s="1372" customFormat="1">
      <c r="A292" s="1384" t="s">
        <v>880</v>
      </c>
      <c r="B292" s="1370">
        <v>61672726.119999997</v>
      </c>
      <c r="C292" s="1386">
        <v>6.6299999999999996E-3</v>
      </c>
      <c r="D292" s="1387">
        <v>572</v>
      </c>
      <c r="E292" s="1386">
        <v>6.28E-3</v>
      </c>
      <c r="M292" s="1375"/>
      <c r="N292" s="1375"/>
      <c r="O292" s="1375"/>
      <c r="P292" s="1375"/>
      <c r="Q292" s="1375"/>
      <c r="R292" s="1375"/>
      <c r="S292" s="1375"/>
      <c r="T292" s="1375"/>
      <c r="U292" s="1375"/>
      <c r="V292" s="1375"/>
      <c r="W292" s="1375"/>
      <c r="X292" s="1375"/>
      <c r="Y292" s="1375"/>
      <c r="Z292" s="1375"/>
      <c r="AA292" s="1375"/>
      <c r="AB292" s="1375"/>
      <c r="AC292" s="1375"/>
      <c r="AD292" s="1375"/>
      <c r="AE292" s="1375"/>
      <c r="AF292" s="1375"/>
      <c r="AG292" s="1375"/>
      <c r="AH292" s="1375"/>
      <c r="AI292" s="1375"/>
      <c r="AJ292" s="1375"/>
    </row>
    <row r="293" spans="1:36" s="1372" customFormat="1">
      <c r="A293" s="1384" t="s">
        <v>881</v>
      </c>
      <c r="B293" s="1370">
        <v>26401302.68</v>
      </c>
      <c r="C293" s="1386">
        <v>2.8400000000000001E-3</v>
      </c>
      <c r="D293" s="1387">
        <v>235</v>
      </c>
      <c r="E293" s="1386">
        <v>2.5799999999999998E-3</v>
      </c>
      <c r="M293" s="1375"/>
      <c r="N293" s="1375"/>
      <c r="O293" s="1375"/>
      <c r="P293" s="1375"/>
      <c r="Q293" s="1375"/>
      <c r="R293" s="1375"/>
      <c r="S293" s="1375"/>
      <c r="T293" s="1375"/>
      <c r="U293" s="1375"/>
      <c r="V293" s="1375"/>
      <c r="W293" s="1375"/>
      <c r="X293" s="1375"/>
      <c r="Y293" s="1375"/>
      <c r="Z293" s="1375"/>
      <c r="AA293" s="1375"/>
      <c r="AB293" s="1375"/>
      <c r="AC293" s="1375"/>
      <c r="AD293" s="1375"/>
      <c r="AE293" s="1375"/>
      <c r="AF293" s="1375"/>
      <c r="AG293" s="1375"/>
      <c r="AH293" s="1375"/>
      <c r="AI293" s="1375"/>
      <c r="AJ293" s="1375"/>
    </row>
    <row r="294" spans="1:36" s="1372" customFormat="1">
      <c r="A294" s="1384" t="s">
        <v>882</v>
      </c>
      <c r="B294" s="1370">
        <v>17001236.859999999</v>
      </c>
      <c r="C294" s="1386">
        <v>1.83E-3</v>
      </c>
      <c r="D294" s="1387">
        <v>151</v>
      </c>
      <c r="E294" s="1386">
        <v>1.66E-3</v>
      </c>
      <c r="M294" s="1375"/>
      <c r="N294" s="1375"/>
      <c r="O294" s="1375"/>
      <c r="P294" s="1375"/>
      <c r="Q294" s="1375"/>
      <c r="R294" s="1375"/>
      <c r="S294" s="1375"/>
      <c r="T294" s="1375"/>
      <c r="U294" s="1375"/>
      <c r="V294" s="1375"/>
      <c r="W294" s="1375"/>
      <c r="X294" s="1375"/>
      <c r="Y294" s="1375"/>
      <c r="Z294" s="1375"/>
      <c r="AA294" s="1375"/>
      <c r="AB294" s="1375"/>
      <c r="AC294" s="1375"/>
      <c r="AD294" s="1375"/>
      <c r="AE294" s="1375"/>
      <c r="AF294" s="1375"/>
      <c r="AG294" s="1375"/>
      <c r="AH294" s="1375"/>
      <c r="AI294" s="1375"/>
      <c r="AJ294" s="1375"/>
    </row>
    <row r="295" spans="1:36" s="1372" customFormat="1">
      <c r="A295" s="1384" t="s">
        <v>883</v>
      </c>
      <c r="B295" s="1370">
        <v>12431348.279999999</v>
      </c>
      <c r="C295" s="1386">
        <v>1.34E-3</v>
      </c>
      <c r="D295" s="1387">
        <v>119</v>
      </c>
      <c r="E295" s="1386">
        <v>1.31E-3</v>
      </c>
      <c r="M295" s="1375"/>
      <c r="N295" s="1375"/>
      <c r="O295" s="1375"/>
      <c r="P295" s="1375"/>
      <c r="Q295" s="1375"/>
      <c r="R295" s="1375"/>
      <c r="S295" s="1375"/>
      <c r="T295" s="1375"/>
      <c r="U295" s="1375"/>
      <c r="V295" s="1375"/>
      <c r="W295" s="1375"/>
      <c r="X295" s="1375"/>
      <c r="Y295" s="1375"/>
      <c r="Z295" s="1375"/>
      <c r="AA295" s="1375"/>
      <c r="AB295" s="1375"/>
      <c r="AC295" s="1375"/>
      <c r="AD295" s="1375"/>
      <c r="AE295" s="1375"/>
      <c r="AF295" s="1375"/>
      <c r="AG295" s="1375"/>
      <c r="AH295" s="1375"/>
      <c r="AI295" s="1375"/>
      <c r="AJ295" s="1375"/>
    </row>
    <row r="296" spans="1:36" s="1372" customFormat="1">
      <c r="A296" s="1384" t="s">
        <v>884</v>
      </c>
      <c r="B296" s="1370">
        <v>6284793.7400000002</v>
      </c>
      <c r="C296" s="1386">
        <v>6.8000000000000005E-4</v>
      </c>
      <c r="D296" s="1387">
        <v>63</v>
      </c>
      <c r="E296" s="1386">
        <v>6.8999999999999997E-4</v>
      </c>
      <c r="M296" s="1375"/>
      <c r="N296" s="1375"/>
      <c r="O296" s="1375"/>
      <c r="P296" s="1375"/>
      <c r="Q296" s="1375"/>
      <c r="R296" s="1375"/>
      <c r="S296" s="1375"/>
      <c r="T296" s="1375"/>
      <c r="U296" s="1375"/>
      <c r="V296" s="1375"/>
      <c r="W296" s="1375"/>
      <c r="X296" s="1375"/>
      <c r="Y296" s="1375"/>
      <c r="Z296" s="1375"/>
      <c r="AA296" s="1375"/>
      <c r="AB296" s="1375"/>
      <c r="AC296" s="1375"/>
      <c r="AD296" s="1375"/>
      <c r="AE296" s="1375"/>
      <c r="AF296" s="1375"/>
      <c r="AG296" s="1375"/>
      <c r="AH296" s="1375"/>
      <c r="AI296" s="1375"/>
      <c r="AJ296" s="1375"/>
    </row>
    <row r="297" spans="1:36" s="1372" customFormat="1">
      <c r="A297" s="1384" t="s">
        <v>885</v>
      </c>
      <c r="B297" s="1370">
        <v>43270651.869999997</v>
      </c>
      <c r="C297" s="1386">
        <v>4.6499999999999996E-3</v>
      </c>
      <c r="D297" s="1387">
        <v>360</v>
      </c>
      <c r="E297" s="1386">
        <v>3.9500000000000004E-3</v>
      </c>
      <c r="M297" s="1375"/>
      <c r="N297" s="1375"/>
      <c r="O297" s="1375"/>
      <c r="P297" s="1375"/>
      <c r="Q297" s="1375"/>
      <c r="R297" s="1375"/>
      <c r="S297" s="1375"/>
      <c r="T297" s="1375"/>
      <c r="U297" s="1375"/>
      <c r="V297" s="1375"/>
      <c r="W297" s="1375"/>
      <c r="X297" s="1375"/>
      <c r="Y297" s="1375"/>
      <c r="Z297" s="1375"/>
      <c r="AA297" s="1375"/>
      <c r="AB297" s="1375"/>
      <c r="AC297" s="1375"/>
      <c r="AD297" s="1375"/>
      <c r="AE297" s="1375"/>
      <c r="AF297" s="1375"/>
      <c r="AG297" s="1375"/>
      <c r="AH297" s="1375"/>
      <c r="AI297" s="1375"/>
      <c r="AJ297" s="1375"/>
    </row>
    <row r="298" spans="1:36" s="1372" customFormat="1" ht="13.5" thickBot="1">
      <c r="A298" s="1404" t="s">
        <v>803</v>
      </c>
      <c r="B298" s="1393">
        <v>9300995038.3100033</v>
      </c>
      <c r="C298" s="1390">
        <v>1.0000100000000001</v>
      </c>
      <c r="D298" s="1391">
        <v>91137</v>
      </c>
      <c r="E298" s="1390">
        <v>1.0000099999999998</v>
      </c>
      <c r="M298" s="1375"/>
      <c r="N298" s="1375"/>
      <c r="O298" s="1375"/>
      <c r="P298" s="1375"/>
      <c r="Q298" s="1375"/>
      <c r="R298" s="1375"/>
      <c r="S298" s="1375"/>
      <c r="T298" s="1375"/>
      <c r="U298" s="1375"/>
      <c r="V298" s="1375"/>
      <c r="W298" s="1375"/>
      <c r="X298" s="1375"/>
      <c r="Y298" s="1375"/>
      <c r="Z298" s="1375"/>
      <c r="AA298" s="1375"/>
      <c r="AB298" s="1375"/>
      <c r="AC298" s="1375"/>
      <c r="AD298" s="1375"/>
      <c r="AE298" s="1375"/>
      <c r="AF298" s="1375"/>
      <c r="AG298" s="1375"/>
      <c r="AH298" s="1375"/>
      <c r="AI298" s="1375"/>
      <c r="AJ298" s="1375"/>
    </row>
    <row r="299" spans="1:36" s="1122" customFormat="1" ht="13.5" thickTop="1">
      <c r="A299" s="1271"/>
      <c r="B299" s="1272"/>
      <c r="C299" s="1268"/>
      <c r="D299" s="1270"/>
      <c r="E299" s="1268"/>
      <c r="M299" s="1121"/>
      <c r="N299" s="1121"/>
      <c r="O299" s="1121"/>
      <c r="P299" s="1121"/>
      <c r="Q299" s="1121"/>
      <c r="R299" s="1121"/>
      <c r="S299" s="1121"/>
      <c r="T299" s="1121"/>
      <c r="U299" s="1121"/>
      <c r="V299" s="1121"/>
      <c r="W299" s="1121"/>
      <c r="X299" s="1121"/>
      <c r="Y299" s="1121"/>
      <c r="Z299" s="1121"/>
      <c r="AA299" s="1121"/>
      <c r="AB299" s="1121"/>
      <c r="AC299" s="1121"/>
      <c r="AD299" s="1121"/>
      <c r="AE299" s="1121"/>
      <c r="AF299" s="1121"/>
      <c r="AG299" s="1121"/>
      <c r="AH299" s="1121"/>
      <c r="AI299" s="1121"/>
      <c r="AJ299" s="1121"/>
    </row>
    <row r="300" spans="1:36" s="1122" customFormat="1">
      <c r="A300" s="1271" t="s">
        <v>135</v>
      </c>
      <c r="B300" s="1269">
        <v>8.5000000000000006E-3</v>
      </c>
      <c r="C300" s="1268"/>
      <c r="D300" s="1270"/>
      <c r="E300" s="1268"/>
      <c r="M300" s="1121"/>
      <c r="N300" s="1121"/>
      <c r="O300" s="1121"/>
      <c r="P300" s="1121"/>
      <c r="Q300" s="1121"/>
      <c r="R300" s="1121"/>
      <c r="S300" s="1121"/>
      <c r="T300" s="1121"/>
      <c r="U300" s="1121"/>
      <c r="V300" s="1121"/>
      <c r="W300" s="1121"/>
      <c r="X300" s="1121"/>
      <c r="Y300" s="1121"/>
      <c r="Z300" s="1121"/>
      <c r="AA300" s="1121"/>
      <c r="AB300" s="1121"/>
      <c r="AC300" s="1121"/>
      <c r="AD300" s="1121"/>
      <c r="AE300" s="1121"/>
      <c r="AF300" s="1121"/>
      <c r="AG300" s="1121"/>
      <c r="AH300" s="1121"/>
      <c r="AI300" s="1121"/>
      <c r="AJ300" s="1121"/>
    </row>
    <row r="301" spans="1:36">
      <c r="A301" s="318"/>
      <c r="B301" s="278"/>
      <c r="C301" s="302"/>
      <c r="D301" s="319"/>
      <c r="E301" s="302"/>
      <c r="I301" s="306"/>
    </row>
    <row r="302" spans="1:36">
      <c r="C302" s="302"/>
      <c r="D302" s="278"/>
      <c r="E302" s="302"/>
      <c r="K302" s="35"/>
    </row>
    <row r="303" spans="1:36" ht="15.75">
      <c r="A303" s="455" t="s">
        <v>587</v>
      </c>
      <c r="K303" s="35"/>
    </row>
    <row r="304" spans="1:36" ht="13.5" thickBot="1">
      <c r="A304" s="335"/>
      <c r="B304" s="292" t="s">
        <v>146</v>
      </c>
      <c r="C304" s="293" t="s">
        <v>147</v>
      </c>
      <c r="D304" s="1380" t="s">
        <v>1107</v>
      </c>
      <c r="E304" s="296"/>
      <c r="G304" s="86"/>
      <c r="K304" s="35"/>
    </row>
    <row r="305" spans="1:36">
      <c r="A305" s="354" t="s">
        <v>959</v>
      </c>
      <c r="B305" s="998">
        <v>1646</v>
      </c>
      <c r="C305" s="999">
        <v>152133498.08999991</v>
      </c>
      <c r="D305" s="1000">
        <v>16388944.280000018</v>
      </c>
      <c r="E305" s="336"/>
      <c r="G305" s="336"/>
      <c r="K305" s="35"/>
      <c r="N305" s="1638"/>
      <c r="O305" s="1639"/>
      <c r="P305" s="1640"/>
      <c r="Q305" s="1639"/>
    </row>
    <row r="306" spans="1:36">
      <c r="A306" s="1001" t="s">
        <v>279</v>
      </c>
      <c r="B306" s="1002">
        <v>405</v>
      </c>
      <c r="C306" s="1003">
        <v>40548559.100000001</v>
      </c>
      <c r="D306" s="1004">
        <v>6300970.2600000007</v>
      </c>
      <c r="E306" s="830"/>
      <c r="G306" s="830"/>
      <c r="K306" s="35"/>
      <c r="L306" s="35"/>
      <c r="N306" s="1641"/>
      <c r="O306" s="1639"/>
      <c r="P306" s="1641"/>
      <c r="Q306" s="1639"/>
      <c r="AI306" s="33"/>
      <c r="AJ306" s="33"/>
    </row>
    <row r="307" spans="1:36">
      <c r="A307" s="1001" t="s">
        <v>961</v>
      </c>
      <c r="B307" s="1002">
        <v>22</v>
      </c>
      <c r="C307" s="1003">
        <v>2724404.3</v>
      </c>
      <c r="D307" s="1004">
        <v>367740.27</v>
      </c>
      <c r="E307" s="336"/>
      <c r="G307" s="336"/>
      <c r="K307" s="35"/>
      <c r="L307" s="35"/>
      <c r="N307" s="1639"/>
      <c r="O307" s="1639"/>
      <c r="P307" s="1639"/>
      <c r="Q307" s="1639"/>
      <c r="AI307" s="33"/>
      <c r="AJ307" s="33"/>
    </row>
    <row r="308" spans="1:36">
      <c r="A308" s="1001" t="s">
        <v>962</v>
      </c>
      <c r="B308" s="1002">
        <v>30</v>
      </c>
      <c r="C308" s="1003">
        <v>3254362.3400000003</v>
      </c>
      <c r="D308" s="1004">
        <v>278936.40999999997</v>
      </c>
      <c r="E308" s="336"/>
      <c r="G308" s="336"/>
      <c r="K308" s="35"/>
      <c r="L308" s="35"/>
      <c r="N308" s="1641"/>
      <c r="O308" s="1639"/>
      <c r="P308" s="1641"/>
      <c r="Q308" s="1639"/>
      <c r="AI308" s="33"/>
      <c r="AJ308" s="33"/>
    </row>
    <row r="309" spans="1:36">
      <c r="A309" s="1001" t="s">
        <v>556</v>
      </c>
      <c r="B309" s="1002">
        <v>397</v>
      </c>
      <c r="C309" s="1003">
        <v>39837554.719999991</v>
      </c>
      <c r="D309" s="1004">
        <v>6408290.0399999972</v>
      </c>
      <c r="E309" s="695"/>
      <c r="G309" s="837"/>
      <c r="K309" s="35"/>
      <c r="L309" s="35"/>
      <c r="N309" s="1641"/>
      <c r="O309" s="1639"/>
      <c r="P309" s="1641"/>
      <c r="Q309" s="1639"/>
      <c r="AI309" s="33"/>
      <c r="AJ309" s="33"/>
    </row>
    <row r="310" spans="1:36">
      <c r="A310" s="1001" t="s">
        <v>963</v>
      </c>
      <c r="B310" s="1002">
        <v>1241</v>
      </c>
      <c r="C310" s="1003">
        <v>111461558.59999993</v>
      </c>
      <c r="D310" s="1004">
        <v>9973017.7000000011</v>
      </c>
      <c r="G310" s="336"/>
      <c r="K310" s="35"/>
      <c r="L310" s="35"/>
      <c r="N310" s="1642"/>
      <c r="O310" s="1639"/>
      <c r="P310" s="1642"/>
      <c r="Q310" s="1639"/>
      <c r="AI310" s="33"/>
      <c r="AJ310" s="33"/>
    </row>
    <row r="311" spans="1:36">
      <c r="A311" s="1001" t="s">
        <v>139</v>
      </c>
      <c r="B311" s="1002">
        <v>402</v>
      </c>
      <c r="C311" s="1003">
        <v>41952392.139999978</v>
      </c>
      <c r="D311" s="1004">
        <v>3144134.5900000012</v>
      </c>
      <c r="H311" s="830"/>
      <c r="K311" s="35"/>
      <c r="L311" s="35"/>
      <c r="AI311" s="33"/>
      <c r="AJ311" s="33"/>
    </row>
    <row r="312" spans="1:36">
      <c r="A312" s="1001" t="s">
        <v>140</v>
      </c>
      <c r="B312" s="1002">
        <v>15</v>
      </c>
      <c r="C312" s="1003">
        <v>1771396.6</v>
      </c>
      <c r="D312" s="1004">
        <v>369213.70999999996</v>
      </c>
      <c r="E312" s="33"/>
      <c r="G312" s="35"/>
      <c r="H312" s="830"/>
      <c r="K312" s="35"/>
      <c r="L312" s="35"/>
      <c r="AI312" s="33"/>
      <c r="AJ312" s="33"/>
    </row>
    <row r="313" spans="1:36">
      <c r="A313" s="1001" t="s">
        <v>141</v>
      </c>
      <c r="B313" s="1002">
        <v>2</v>
      </c>
      <c r="C313" s="1003">
        <v>128427.15</v>
      </c>
      <c r="D313" s="1004">
        <v>10427.4</v>
      </c>
      <c r="E313" s="33"/>
      <c r="G313" s="35"/>
      <c r="H313" s="839"/>
      <c r="L313" s="35"/>
      <c r="AI313" s="33"/>
      <c r="AJ313" s="33"/>
    </row>
    <row r="314" spans="1:36" ht="13.5" thickBot="1">
      <c r="A314" s="1001" t="s">
        <v>549</v>
      </c>
      <c r="B314" s="1005">
        <v>15</v>
      </c>
      <c r="C314" s="1006">
        <v>1732750.5300000003</v>
      </c>
      <c r="D314" s="1007">
        <v>379050.31</v>
      </c>
      <c r="E314" s="33"/>
      <c r="G314" s="35"/>
      <c r="H314" s="336"/>
      <c r="K314" s="35"/>
      <c r="L314" s="35"/>
      <c r="AI314" s="33"/>
      <c r="AJ314" s="33"/>
    </row>
    <row r="315" spans="1:36" ht="15.75">
      <c r="A315" s="557"/>
      <c r="B315" s="1008"/>
      <c r="C315" s="1008"/>
      <c r="D315" s="1008"/>
      <c r="E315" s="1008"/>
      <c r="F315" s="1008"/>
      <c r="G315" s="89"/>
      <c r="H315" s="336"/>
      <c r="K315" s="35"/>
      <c r="L315" s="35"/>
      <c r="AI315" s="33"/>
      <c r="AJ315" s="33"/>
    </row>
    <row r="316" spans="1:36" ht="15.75">
      <c r="A316" s="457" t="s">
        <v>550</v>
      </c>
      <c r="B316" s="1009"/>
      <c r="C316" s="1010"/>
      <c r="D316" s="88"/>
      <c r="E316" s="88"/>
      <c r="F316" s="88"/>
      <c r="G316" s="66"/>
      <c r="H316" s="830"/>
      <c r="K316" s="35"/>
      <c r="L316" s="35"/>
      <c r="AI316" s="33"/>
      <c r="AJ316" s="33"/>
    </row>
    <row r="317" spans="1:36" ht="13.5" thickBot="1">
      <c r="A317" s="465"/>
      <c r="B317" s="333" t="s">
        <v>146</v>
      </c>
      <c r="C317" s="466" t="s">
        <v>551</v>
      </c>
      <c r="D317" s="333" t="s">
        <v>552</v>
      </c>
      <c r="E317" s="466" t="s">
        <v>553</v>
      </c>
      <c r="F317" s="35"/>
      <c r="G317" s="65"/>
      <c r="H317" s="79"/>
      <c r="K317" s="35"/>
    </row>
    <row r="318" spans="1:36">
      <c r="A318" s="1011" t="s">
        <v>142</v>
      </c>
      <c r="B318" s="998">
        <v>359</v>
      </c>
      <c r="C318" s="999">
        <v>37265387.300000004</v>
      </c>
      <c r="D318" s="1012">
        <v>44136943.989999972</v>
      </c>
      <c r="E318" s="1013">
        <v>40904192.980000004</v>
      </c>
      <c r="F318" s="35"/>
      <c r="G318" s="65"/>
      <c r="H318" s="79"/>
      <c r="K318" s="35"/>
      <c r="L318" s="35"/>
      <c r="N318" s="1640"/>
      <c r="O318" s="1639"/>
      <c r="AI318" s="33"/>
      <c r="AJ318" s="33"/>
    </row>
    <row r="319" spans="1:36" ht="13.5" thickBot="1">
      <c r="A319" s="1014" t="s">
        <v>143</v>
      </c>
      <c r="B319" s="1005">
        <v>2</v>
      </c>
      <c r="C319" s="1006">
        <v>167073.22</v>
      </c>
      <c r="D319" s="1015">
        <v>186337.38</v>
      </c>
      <c r="E319" s="1016">
        <v>163000</v>
      </c>
      <c r="F319" s="35"/>
      <c r="G319" s="65"/>
      <c r="H319" s="600"/>
      <c r="K319" s="35"/>
      <c r="L319" s="35"/>
      <c r="N319" s="1642"/>
      <c r="O319" s="1639"/>
      <c r="AI319" s="33"/>
      <c r="AJ319" s="33"/>
    </row>
    <row r="320" spans="1:36">
      <c r="A320" s="1017"/>
      <c r="B320" s="1018"/>
      <c r="C320" s="1019"/>
      <c r="D320" s="1019"/>
      <c r="E320" s="1019"/>
      <c r="F320" s="1019"/>
      <c r="G320" s="65"/>
      <c r="H320" s="79"/>
      <c r="I320" s="86"/>
      <c r="L320" s="35"/>
      <c r="N320" s="1642"/>
      <c r="O320" s="1639"/>
      <c r="AI320" s="33"/>
      <c r="AJ320" s="33"/>
    </row>
    <row r="321" spans="1:36" ht="13.5" thickBot="1">
      <c r="A321" s="1017"/>
      <c r="B321" s="1018"/>
      <c r="C321" s="1019"/>
      <c r="D321" s="1019"/>
      <c r="E321" s="1019"/>
      <c r="F321" s="1019"/>
      <c r="G321" s="65"/>
      <c r="H321" s="79"/>
      <c r="L321" s="35"/>
      <c r="N321" s="1639"/>
      <c r="O321" s="1639"/>
      <c r="AI321" s="33"/>
      <c r="AJ321" s="33"/>
    </row>
    <row r="322" spans="1:36" ht="13.5" thickBot="1">
      <c r="A322" s="1020" t="s">
        <v>144</v>
      </c>
      <c r="B322" s="1021" t="s">
        <v>1125</v>
      </c>
      <c r="C322" s="1019"/>
      <c r="D322" s="35"/>
      <c r="E322" s="35"/>
      <c r="F322" s="35"/>
      <c r="G322" s="65"/>
      <c r="H322" s="79"/>
      <c r="L322" s="35"/>
      <c r="N322" s="1643"/>
      <c r="O322" s="1639"/>
      <c r="AI322" s="33"/>
      <c r="AJ322" s="33"/>
    </row>
    <row r="323" spans="1:36">
      <c r="A323" s="1017"/>
      <c r="B323" s="1018"/>
      <c r="C323" s="1019"/>
      <c r="D323" s="35"/>
      <c r="E323" s="35"/>
      <c r="F323" s="35"/>
      <c r="G323" s="65"/>
      <c r="H323" s="600"/>
      <c r="L323" s="35"/>
      <c r="N323" s="1644"/>
      <c r="O323" s="1639"/>
      <c r="AI323" s="33"/>
      <c r="AJ323" s="33"/>
    </row>
    <row r="324" spans="1:36" ht="13.5" thickBot="1">
      <c r="A324" s="465"/>
      <c r="B324" s="333" t="s">
        <v>146</v>
      </c>
      <c r="C324" s="466" t="s">
        <v>552</v>
      </c>
      <c r="D324" s="333" t="s">
        <v>553</v>
      </c>
      <c r="E324" s="466" t="s">
        <v>554</v>
      </c>
      <c r="F324" s="466" t="s">
        <v>52</v>
      </c>
      <c r="G324" s="65"/>
      <c r="N324" s="1106"/>
      <c r="O324" s="1639"/>
    </row>
    <row r="325" spans="1:36">
      <c r="A325" s="1011" t="s">
        <v>860</v>
      </c>
      <c r="B325" s="1022">
        <v>359</v>
      </c>
      <c r="C325" s="1023">
        <v>44136943.989999972</v>
      </c>
      <c r="D325" s="1000">
        <v>40904192.980000004</v>
      </c>
      <c r="E325" s="1024">
        <v>7588604.0999999978</v>
      </c>
      <c r="F325" s="1024">
        <v>6888148.7899999982</v>
      </c>
      <c r="G325" s="443"/>
      <c r="N325" s="1645"/>
      <c r="O325" s="1646"/>
    </row>
    <row r="326" spans="1:36">
      <c r="A326" s="1017" t="s">
        <v>209</v>
      </c>
      <c r="B326" s="1025">
        <v>270</v>
      </c>
      <c r="C326" s="1019">
        <v>34512594.719999976</v>
      </c>
      <c r="D326" s="1004">
        <v>29217212</v>
      </c>
      <c r="E326" s="1026">
        <v>7588604.0999999978</v>
      </c>
      <c r="F326" s="1026">
        <v>6888148.7899999982</v>
      </c>
      <c r="G326" s="443"/>
      <c r="N326" s="1643"/>
      <c r="O326" s="1639"/>
    </row>
    <row r="327" spans="1:36">
      <c r="A327" s="1017" t="s">
        <v>84</v>
      </c>
      <c r="B327" s="1025">
        <v>2</v>
      </c>
      <c r="C327" s="1019">
        <v>186337.38</v>
      </c>
      <c r="D327" s="1004">
        <v>163000</v>
      </c>
      <c r="E327" s="1026">
        <v>22187</v>
      </c>
      <c r="F327" s="1026">
        <v>22187</v>
      </c>
      <c r="G327" s="443"/>
      <c r="N327" s="1647"/>
      <c r="O327" s="1639"/>
    </row>
    <row r="328" spans="1:36" ht="13.5" thickBot="1">
      <c r="A328" s="1014" t="s">
        <v>145</v>
      </c>
      <c r="B328" s="1027">
        <v>2</v>
      </c>
      <c r="C328" s="1028">
        <v>186337.38</v>
      </c>
      <c r="D328" s="1007">
        <v>163000</v>
      </c>
      <c r="E328" s="1029">
        <v>22187</v>
      </c>
      <c r="F328" s="1029">
        <v>22187</v>
      </c>
      <c r="G328" s="443"/>
      <c r="N328" s="1106"/>
      <c r="O328" s="1639"/>
    </row>
    <row r="329" spans="1:36">
      <c r="A329" s="1017"/>
      <c r="B329" s="311"/>
      <c r="C329" s="1019"/>
      <c r="D329" s="35"/>
      <c r="E329" s="35"/>
      <c r="F329" s="35"/>
      <c r="G329" s="65"/>
    </row>
    <row r="330" spans="1:36" ht="13.5" thickBot="1">
      <c r="A330" s="1017"/>
      <c r="B330" s="1030" t="s">
        <v>146</v>
      </c>
      <c r="C330" s="1031" t="s">
        <v>212</v>
      </c>
      <c r="D330" s="35"/>
      <c r="E330" s="35"/>
      <c r="F330" s="35"/>
      <c r="G330" s="65"/>
    </row>
    <row r="331" spans="1:36" ht="13.5" thickBot="1">
      <c r="A331" s="1032" t="s">
        <v>213</v>
      </c>
      <c r="B331" s="1033">
        <v>17</v>
      </c>
      <c r="C331" s="1034">
        <v>700455.31</v>
      </c>
      <c r="D331" s="35"/>
      <c r="E331" s="35"/>
      <c r="F331" s="35"/>
      <c r="G331" s="65"/>
    </row>
    <row r="332" spans="1:36">
      <c r="A332" s="1017"/>
      <c r="B332" s="311"/>
      <c r="C332" s="1019"/>
      <c r="D332" s="35"/>
      <c r="E332" s="35"/>
      <c r="F332" s="35"/>
      <c r="G332" s="65"/>
      <c r="H332" s="86"/>
      <c r="I332" s="86"/>
      <c r="J332" s="86"/>
      <c r="K332" s="86"/>
    </row>
    <row r="333" spans="1:36" s="86" customFormat="1">
      <c r="A333" s="1035" t="s">
        <v>656</v>
      </c>
      <c r="B333" s="311"/>
      <c r="C333" s="1019"/>
      <c r="D333" s="35"/>
      <c r="E333" s="35"/>
      <c r="F333" s="35"/>
      <c r="G333" s="65"/>
      <c r="H333" s="33"/>
      <c r="I333" s="33"/>
      <c r="J333" s="33"/>
      <c r="K333" s="33"/>
      <c r="L333" s="33"/>
      <c r="M333" s="124"/>
      <c r="N333" s="124"/>
      <c r="O333" s="124"/>
      <c r="P333" s="124"/>
      <c r="Q333" s="124"/>
      <c r="R333" s="124"/>
      <c r="S333" s="124"/>
      <c r="T333" s="124"/>
      <c r="U333" s="124"/>
      <c r="V333" s="124"/>
      <c r="W333" s="124"/>
      <c r="X333" s="124"/>
      <c r="Y333" s="124"/>
      <c r="Z333" s="124"/>
      <c r="AA333" s="124"/>
      <c r="AB333" s="124"/>
      <c r="AC333" s="124"/>
      <c r="AD333" s="124"/>
      <c r="AE333" s="124"/>
      <c r="AF333" s="124"/>
      <c r="AG333" s="124"/>
      <c r="AH333" s="124"/>
      <c r="AI333" s="124"/>
      <c r="AJ333" s="124"/>
    </row>
    <row r="334" spans="1:36">
      <c r="A334" s="1041" t="s">
        <v>148</v>
      </c>
      <c r="B334" s="311"/>
      <c r="C334" s="1019"/>
      <c r="D334" s="35"/>
      <c r="E334" s="35"/>
      <c r="F334" s="35"/>
      <c r="G334" s="65"/>
    </row>
    <row r="335" spans="1:36">
      <c r="A335" s="1041" t="s">
        <v>75</v>
      </c>
      <c r="B335" s="311"/>
      <c r="C335" s="1019"/>
      <c r="D335" s="35"/>
      <c r="E335" s="35"/>
      <c r="F335" s="35"/>
      <c r="G335" s="65"/>
    </row>
    <row r="336" spans="1:36">
      <c r="A336" s="1041" t="s">
        <v>150</v>
      </c>
      <c r="B336" s="311"/>
      <c r="C336" s="1019"/>
      <c r="D336" s="35"/>
      <c r="E336" s="35"/>
      <c r="F336" s="35"/>
      <c r="G336" s="472"/>
      <c r="L336" s="86"/>
    </row>
    <row r="337" spans="1:12">
      <c r="A337" s="1273" t="s">
        <v>1080</v>
      </c>
      <c r="B337" s="89"/>
      <c r="C337" s="89"/>
      <c r="D337" s="89"/>
      <c r="E337" s="89"/>
      <c r="F337" s="89"/>
      <c r="G337" s="67"/>
    </row>
    <row r="338" spans="1:12">
      <c r="A338" s="33"/>
      <c r="B338" s="33"/>
      <c r="C338" s="33"/>
      <c r="D338" s="33"/>
      <c r="E338" s="33"/>
    </row>
    <row r="339" spans="1:12">
      <c r="A339" s="33"/>
      <c r="B339" s="33"/>
      <c r="C339" s="33"/>
      <c r="D339" s="33"/>
      <c r="E339" s="33"/>
    </row>
    <row r="340" spans="1:12">
      <c r="A340" s="337"/>
    </row>
    <row r="341" spans="1:12" ht="15.75">
      <c r="A341" s="1274" t="s">
        <v>540</v>
      </c>
      <c r="B341" s="1141"/>
      <c r="C341" s="1275" t="s">
        <v>541</v>
      </c>
      <c r="D341" s="1276" t="s">
        <v>542</v>
      </c>
    </row>
    <row r="342" spans="1:12">
      <c r="A342" s="1154" t="s">
        <v>1130</v>
      </c>
      <c r="B342" s="1127"/>
      <c r="C342" s="1277">
        <v>814</v>
      </c>
      <c r="D342" s="1278">
        <v>25852973.010000002</v>
      </c>
    </row>
    <row r="343" spans="1:12">
      <c r="A343" s="1530" t="s">
        <v>411</v>
      </c>
      <c r="B343" s="1531"/>
      <c r="C343" s="1277">
        <v>234593</v>
      </c>
      <c r="D343" s="1278">
        <v>19611117323.459999</v>
      </c>
    </row>
    <row r="344" spans="1:12">
      <c r="A344" s="1154"/>
      <c r="B344" s="1127"/>
      <c r="C344" s="1277"/>
      <c r="D344" s="1278"/>
    </row>
    <row r="345" spans="1:12" ht="15.75">
      <c r="A345" s="1274" t="s">
        <v>708</v>
      </c>
      <c r="B345" s="1141"/>
      <c r="C345" s="1279"/>
      <c r="D345" s="1223"/>
    </row>
    <row r="346" spans="1:12">
      <c r="A346" s="1154" t="s">
        <v>1131</v>
      </c>
      <c r="B346" s="1127"/>
      <c r="C346" s="1280">
        <v>0</v>
      </c>
      <c r="D346" s="1281">
        <v>0</v>
      </c>
    </row>
    <row r="347" spans="1:12">
      <c r="A347" s="1530" t="s">
        <v>53</v>
      </c>
      <c r="B347" s="1531"/>
      <c r="C347" s="1277">
        <v>152565</v>
      </c>
      <c r="D347" s="1278">
        <v>31896929774.400002</v>
      </c>
    </row>
    <row r="348" spans="1:12">
      <c r="A348" s="1229"/>
      <c r="B348" s="1162"/>
      <c r="C348" s="1282"/>
      <c r="D348" s="1283"/>
    </row>
    <row r="349" spans="1:12">
      <c r="G349" s="35"/>
      <c r="H349" s="35"/>
      <c r="I349" s="35"/>
      <c r="J349" s="35"/>
      <c r="K349" s="35"/>
    </row>
    <row r="350" spans="1:12">
      <c r="A350" s="114"/>
      <c r="B350" s="278"/>
      <c r="C350" s="313"/>
      <c r="D350" s="278"/>
      <c r="E350" s="313"/>
      <c r="F350" s="35"/>
      <c r="G350" s="35"/>
      <c r="H350" s="313"/>
      <c r="I350" s="302"/>
      <c r="J350" s="35"/>
      <c r="K350" s="35"/>
      <c r="L350" s="35"/>
    </row>
    <row r="351" spans="1:12">
      <c r="A351" s="114"/>
      <c r="B351" s="278"/>
      <c r="C351" s="313"/>
      <c r="D351" s="278"/>
      <c r="E351" s="313"/>
      <c r="F351" s="35"/>
      <c r="G351" s="35"/>
      <c r="H351" s="313"/>
      <c r="I351" s="302"/>
      <c r="J351" s="35"/>
      <c r="K351" s="35"/>
      <c r="L351" s="35"/>
    </row>
    <row r="352" spans="1:12" ht="15.75">
      <c r="A352" s="989" t="s">
        <v>336</v>
      </c>
      <c r="B352" s="278"/>
      <c r="C352" s="313"/>
      <c r="D352" s="278"/>
      <c r="E352" s="313"/>
      <c r="F352" s="35"/>
      <c r="G352" s="35"/>
      <c r="H352" s="35"/>
      <c r="I352" s="35"/>
      <c r="J352" s="35"/>
      <c r="K352" s="35"/>
      <c r="L352" s="35"/>
    </row>
    <row r="353" spans="1:18">
      <c r="A353" s="326"/>
      <c r="B353" s="278"/>
      <c r="C353" s="313"/>
      <c r="D353" s="278"/>
      <c r="E353" s="313"/>
      <c r="F353" s="313"/>
      <c r="G353" s="35"/>
      <c r="H353" s="35"/>
      <c r="I353" s="35"/>
      <c r="J353" s="35"/>
      <c r="K353" s="35"/>
      <c r="L353" s="35"/>
    </row>
    <row r="354" spans="1:18" ht="27" customHeight="1">
      <c r="A354" s="974" t="s">
        <v>335</v>
      </c>
      <c r="B354" s="985"/>
      <c r="C354" s="975" t="s">
        <v>281</v>
      </c>
      <c r="D354" s="976" t="s">
        <v>280</v>
      </c>
      <c r="E354" s="1532" t="s">
        <v>331</v>
      </c>
      <c r="F354" s="1533"/>
      <c r="G354" s="35"/>
      <c r="H354" s="35"/>
      <c r="I354" s="35"/>
      <c r="J354" s="35"/>
      <c r="K354" s="35"/>
      <c r="L354" s="35"/>
    </row>
    <row r="355" spans="1:18" ht="12.75" customHeight="1">
      <c r="A355" s="1462"/>
      <c r="B355" s="968" t="s">
        <v>542</v>
      </c>
      <c r="C355" s="969">
        <v>150050059.56999999</v>
      </c>
      <c r="D355" s="970">
        <v>104081486.87999998</v>
      </c>
      <c r="E355" s="1526">
        <v>100971203.5</v>
      </c>
      <c r="F355" s="1548"/>
      <c r="G355" s="35"/>
      <c r="H355" s="35"/>
      <c r="I355" s="35"/>
      <c r="J355" s="35"/>
      <c r="K355" s="35"/>
      <c r="L355" s="35"/>
    </row>
    <row r="356" spans="1:18" ht="12.75" customHeight="1">
      <c r="A356" s="954" t="s">
        <v>1127</v>
      </c>
      <c r="B356" s="1456" t="s">
        <v>332</v>
      </c>
      <c r="C356" s="325">
        <v>1.5938953511142096E-2</v>
      </c>
      <c r="D356" s="971">
        <v>1.1055976822034831E-2</v>
      </c>
      <c r="E356" s="1534">
        <v>1.0725589334403275E-2</v>
      </c>
      <c r="F356" s="1549"/>
      <c r="G356" s="35"/>
      <c r="H356" s="35"/>
      <c r="I356" s="35"/>
      <c r="J356" s="35"/>
      <c r="K356" s="35"/>
      <c r="L356" s="35"/>
    </row>
    <row r="357" spans="1:18" ht="13.5" customHeight="1">
      <c r="A357" s="1463"/>
      <c r="B357" s="1456" t="s">
        <v>333</v>
      </c>
      <c r="C357" s="313">
        <v>0.17236250362461814</v>
      </c>
      <c r="D357" s="432">
        <v>0.12269464540474184</v>
      </c>
      <c r="E357" s="1539">
        <v>0.11923751635899982</v>
      </c>
      <c r="F357" s="1545"/>
      <c r="G357" s="35"/>
      <c r="H357" s="35"/>
      <c r="I357" s="35"/>
      <c r="J357" s="35"/>
      <c r="K357" s="35"/>
      <c r="L357" s="35"/>
    </row>
    <row r="358" spans="1:18">
      <c r="A358" s="1462"/>
      <c r="B358" s="968" t="s">
        <v>542</v>
      </c>
      <c r="C358" s="969">
        <v>143442714.66</v>
      </c>
      <c r="D358" s="970">
        <v>112594649.72</v>
      </c>
      <c r="E358" s="1526">
        <v>92761932.650000006</v>
      </c>
      <c r="F358" s="1527"/>
      <c r="G358" s="967"/>
      <c r="H358" s="35"/>
      <c r="I358" s="35"/>
      <c r="J358" s="35"/>
      <c r="K358" s="35"/>
      <c r="L358" s="35"/>
      <c r="N358" s="35" t="s">
        <v>337</v>
      </c>
      <c r="R358" s="967">
        <v>30848064.939999998</v>
      </c>
    </row>
    <row r="359" spans="1:18">
      <c r="A359" s="954" t="s">
        <v>1124</v>
      </c>
      <c r="B359" s="1479" t="s">
        <v>332</v>
      </c>
      <c r="C359" s="325">
        <v>1.5017767809414015E-2</v>
      </c>
      <c r="D359" s="971">
        <v>1.1788122597130321E-2</v>
      </c>
      <c r="E359" s="1534">
        <v>9.7117317487485505E-3</v>
      </c>
      <c r="F359" s="1535"/>
      <c r="H359" s="35"/>
      <c r="I359" s="35"/>
      <c r="J359" s="35"/>
      <c r="K359" s="35"/>
      <c r="L359" s="35"/>
      <c r="N359" s="35" t="s">
        <v>1070</v>
      </c>
      <c r="R359" s="58">
        <v>-1061660.2400000021</v>
      </c>
    </row>
    <row r="360" spans="1:18">
      <c r="A360" s="1463"/>
      <c r="B360" s="1479" t="s">
        <v>333</v>
      </c>
      <c r="C360" s="313">
        <v>0.16319422646039572</v>
      </c>
      <c r="D360" s="432">
        <v>0.13031151390292695</v>
      </c>
      <c r="E360" s="1539">
        <v>0.10855067734357515</v>
      </c>
      <c r="F360" s="1540"/>
      <c r="G360" s="35"/>
      <c r="H360" s="35"/>
      <c r="I360" s="35"/>
      <c r="J360" s="35"/>
      <c r="K360" s="35"/>
      <c r="L360" s="35"/>
    </row>
    <row r="361" spans="1:18">
      <c r="A361" s="1462"/>
      <c r="B361" s="968" t="s">
        <v>542</v>
      </c>
      <c r="C361" s="969">
        <v>134658750.64000002</v>
      </c>
      <c r="D361" s="970">
        <v>97098822.740000024</v>
      </c>
      <c r="E361" s="1526">
        <v>84519519.420000002</v>
      </c>
      <c r="F361" s="1527"/>
      <c r="G361" s="35"/>
      <c r="H361" s="35"/>
      <c r="I361" s="35"/>
      <c r="J361" s="35"/>
      <c r="K361" s="35"/>
      <c r="L361" s="35"/>
      <c r="N361" s="35" t="s">
        <v>337</v>
      </c>
      <c r="R361" s="967">
        <v>37559927.899999991</v>
      </c>
    </row>
    <row r="362" spans="1:18">
      <c r="A362" s="954" t="s">
        <v>1117</v>
      </c>
      <c r="B362" s="1479" t="s">
        <v>332</v>
      </c>
      <c r="C362" s="325">
        <v>1.3940733065386603E-2</v>
      </c>
      <c r="D362" s="971">
        <v>1.0052289675555175E-2</v>
      </c>
      <c r="E362" s="1534">
        <v>8.8487904110111665E-3</v>
      </c>
      <c r="F362" s="1535"/>
      <c r="G362" s="984"/>
      <c r="H362" s="35"/>
      <c r="I362" s="35"/>
      <c r="J362" s="35"/>
      <c r="K362" s="35"/>
      <c r="L362" s="35"/>
      <c r="N362" s="35" t="s">
        <v>1070</v>
      </c>
      <c r="R362" s="967">
        <v>10993885.169999991</v>
      </c>
    </row>
    <row r="363" spans="1:18">
      <c r="A363" s="1463"/>
      <c r="B363" s="973" t="s">
        <v>333</v>
      </c>
      <c r="C363" s="427">
        <v>0.13794030455108752</v>
      </c>
      <c r="D363" s="433">
        <v>0.11215358197834435</v>
      </c>
      <c r="E363" s="1539">
        <v>8.2037576979595572E-2</v>
      </c>
      <c r="F363" s="1540"/>
      <c r="G363" s="35"/>
      <c r="H363" s="35"/>
      <c r="I363" s="35"/>
      <c r="J363" s="35"/>
      <c r="K363" s="35"/>
      <c r="L363" s="35"/>
    </row>
    <row r="364" spans="1:18">
      <c r="A364" s="1536" t="s">
        <v>334</v>
      </c>
      <c r="B364" s="963" t="s">
        <v>542</v>
      </c>
      <c r="C364" s="967">
        <v>142717174.95666668</v>
      </c>
      <c r="D364" s="972">
        <v>104591653.11333334</v>
      </c>
      <c r="E364" s="1541">
        <v>92750885.189999998</v>
      </c>
      <c r="F364" s="1542"/>
      <c r="G364" s="35"/>
      <c r="H364" s="35"/>
      <c r="I364" s="35"/>
      <c r="J364" s="35"/>
      <c r="K364" s="35"/>
      <c r="L364" s="35"/>
    </row>
    <row r="365" spans="1:18">
      <c r="A365" s="1537"/>
      <c r="B365" s="963" t="s">
        <v>332</v>
      </c>
      <c r="C365" s="313">
        <v>1.4965818128647571E-2</v>
      </c>
      <c r="D365" s="432">
        <v>1.0965463031573442E-2</v>
      </c>
      <c r="E365" s="1628">
        <v>9.7620371647209967E-3</v>
      </c>
      <c r="F365" s="1609"/>
      <c r="G365" s="35"/>
      <c r="H365" s="35"/>
      <c r="I365" s="35"/>
      <c r="J365" s="35"/>
      <c r="K365" s="35"/>
      <c r="L365" s="35"/>
    </row>
    <row r="366" spans="1:18">
      <c r="A366" s="1538"/>
      <c r="B366" s="973" t="s">
        <v>333</v>
      </c>
      <c r="C366" s="427">
        <v>0.15783234487870046</v>
      </c>
      <c r="D366" s="433">
        <v>0.12171991376200438</v>
      </c>
      <c r="E366" s="1539">
        <v>0.10327525689405685</v>
      </c>
      <c r="F366" s="1613"/>
      <c r="G366" s="35"/>
      <c r="H366" s="35"/>
      <c r="I366" s="35"/>
      <c r="J366" s="35"/>
      <c r="K366" s="35"/>
      <c r="L366" s="35"/>
    </row>
    <row r="367" spans="1:18">
      <c r="A367" s="273"/>
    </row>
    <row r="368" spans="1:18">
      <c r="A368" s="598"/>
    </row>
    <row r="369" spans="1:36" s="1122" customFormat="1" ht="18.75">
      <c r="A369" s="1195" t="s">
        <v>1132</v>
      </c>
      <c r="B369" s="1141"/>
      <c r="C369" s="1196"/>
      <c r="D369" s="1141"/>
      <c r="E369" s="1196"/>
      <c r="F369" s="1197"/>
      <c r="G369" s="1198"/>
      <c r="M369" s="1121"/>
      <c r="N369" s="1121"/>
      <c r="O369" s="1121"/>
      <c r="P369" s="1121"/>
      <c r="Q369" s="1121"/>
      <c r="R369" s="1121"/>
      <c r="S369" s="1121"/>
      <c r="T369" s="1121"/>
      <c r="U369" s="1121"/>
      <c r="V369" s="1121"/>
      <c r="W369" s="1121"/>
      <c r="X369" s="1121"/>
      <c r="Y369" s="1121"/>
      <c r="Z369" s="1121"/>
      <c r="AA369" s="1121"/>
      <c r="AB369" s="1121"/>
      <c r="AC369" s="1121"/>
      <c r="AD369" s="1121"/>
      <c r="AE369" s="1121"/>
      <c r="AF369" s="1121"/>
      <c r="AG369" s="1121"/>
      <c r="AH369" s="1121"/>
      <c r="AI369" s="1121"/>
      <c r="AJ369" s="1121"/>
    </row>
    <row r="370" spans="1:36" s="1122" customFormat="1" ht="16.5" customHeight="1">
      <c r="A370" s="1199"/>
      <c r="B370" s="1127"/>
      <c r="C370" s="1126"/>
      <c r="D370" s="1127"/>
      <c r="E370" s="1126"/>
      <c r="F370" s="1121"/>
      <c r="G370" s="1200"/>
      <c r="M370" s="1121"/>
      <c r="N370" s="1121"/>
      <c r="O370" s="1121"/>
      <c r="P370" s="1121"/>
      <c r="Q370" s="1121"/>
      <c r="R370" s="1121"/>
      <c r="S370" s="1121"/>
      <c r="T370" s="1121"/>
      <c r="U370" s="1121"/>
      <c r="V370" s="1121"/>
      <c r="W370" s="1121"/>
      <c r="X370" s="1121"/>
      <c r="Y370" s="1121"/>
      <c r="Z370" s="1121"/>
      <c r="AA370" s="1121"/>
      <c r="AB370" s="1121"/>
      <c r="AC370" s="1121"/>
      <c r="AD370" s="1121"/>
      <c r="AE370" s="1121"/>
      <c r="AF370" s="1121"/>
      <c r="AG370" s="1121"/>
      <c r="AH370" s="1121"/>
      <c r="AI370" s="1121"/>
      <c r="AJ370" s="1121"/>
    </row>
    <row r="371" spans="1:36" s="1122" customFormat="1">
      <c r="A371" s="1154" t="s">
        <v>217</v>
      </c>
      <c r="B371" s="1127"/>
      <c r="C371" s="1201">
        <v>9292341786.3600006</v>
      </c>
      <c r="D371" s="1127"/>
      <c r="E371" s="1126"/>
      <c r="F371" s="1121"/>
      <c r="G371" s="1200"/>
      <c r="M371" s="1121"/>
      <c r="N371" s="1121"/>
      <c r="O371" s="1121"/>
      <c r="P371" s="1121"/>
      <c r="Q371" s="1121"/>
      <c r="R371" s="1121"/>
      <c r="S371" s="1121"/>
      <c r="T371" s="1121"/>
      <c r="U371" s="1121"/>
      <c r="V371" s="1121"/>
      <c r="W371" s="1121"/>
      <c r="X371" s="1121"/>
      <c r="Y371" s="1121"/>
      <c r="Z371" s="1121"/>
      <c r="AA371" s="1121"/>
      <c r="AB371" s="1121"/>
      <c r="AC371" s="1121"/>
      <c r="AD371" s="1121"/>
      <c r="AE371" s="1121"/>
      <c r="AF371" s="1121"/>
      <c r="AG371" s="1121"/>
      <c r="AH371" s="1121"/>
      <c r="AI371" s="1121"/>
      <c r="AJ371" s="1121"/>
    </row>
    <row r="372" spans="1:36" s="1122" customFormat="1" ht="14.25" customHeight="1">
      <c r="A372" s="1458" t="s">
        <v>1108</v>
      </c>
      <c r="B372" s="1457"/>
      <c r="C372" s="890">
        <v>532436713.94</v>
      </c>
      <c r="D372" s="1127"/>
      <c r="E372" s="1126"/>
      <c r="F372" s="1121"/>
      <c r="G372" s="1200"/>
      <c r="M372" s="1121"/>
      <c r="N372" s="1121"/>
      <c r="O372" s="1121"/>
      <c r="P372" s="1121"/>
      <c r="Q372" s="1121"/>
      <c r="R372" s="1121"/>
      <c r="S372" s="1121"/>
      <c r="T372" s="1121"/>
      <c r="U372" s="1121"/>
      <c r="V372" s="1121"/>
      <c r="W372" s="1121"/>
      <c r="X372" s="1121"/>
      <c r="Y372" s="1121"/>
      <c r="Z372" s="1121"/>
      <c r="AA372" s="1121"/>
      <c r="AB372" s="1121"/>
      <c r="AC372" s="1121"/>
      <c r="AD372" s="1121"/>
      <c r="AE372" s="1121"/>
      <c r="AF372" s="1121"/>
      <c r="AG372" s="1121"/>
      <c r="AH372" s="1121"/>
      <c r="AI372" s="1121"/>
      <c r="AJ372" s="1121"/>
    </row>
    <row r="373" spans="1:36" s="1122" customFormat="1" ht="14.25" customHeight="1">
      <c r="A373" s="1154" t="s">
        <v>219</v>
      </c>
      <c r="B373" s="1127"/>
      <c r="C373" s="1202">
        <v>5810812031.8100004</v>
      </c>
      <c r="D373" s="1127"/>
      <c r="E373" s="1126"/>
      <c r="F373" s="1121"/>
      <c r="G373" s="1200"/>
      <c r="M373" s="1121"/>
      <c r="N373" s="1121"/>
      <c r="O373" s="1121"/>
      <c r="P373" s="1121"/>
      <c r="Q373" s="1121"/>
      <c r="R373" s="1121"/>
      <c r="S373" s="1121"/>
      <c r="T373" s="1121"/>
      <c r="U373" s="1121"/>
      <c r="V373" s="1121"/>
      <c r="W373" s="1121"/>
      <c r="X373" s="1121"/>
      <c r="Y373" s="1121"/>
      <c r="Z373" s="1121"/>
      <c r="AA373" s="1121"/>
      <c r="AB373" s="1121"/>
      <c r="AC373" s="1121"/>
      <c r="AD373" s="1121"/>
      <c r="AE373" s="1121"/>
      <c r="AF373" s="1121"/>
      <c r="AG373" s="1121"/>
      <c r="AH373" s="1121"/>
      <c r="AI373" s="1121"/>
      <c r="AJ373" s="1121"/>
    </row>
    <row r="374" spans="1:36" s="1122" customFormat="1" ht="14.25" customHeight="1">
      <c r="A374" s="1154" t="s">
        <v>220</v>
      </c>
      <c r="B374" s="1127"/>
      <c r="C374" s="1203">
        <v>100</v>
      </c>
      <c r="D374" s="1127"/>
      <c r="E374" s="1126"/>
      <c r="F374" s="1121"/>
      <c r="G374" s="1200"/>
      <c r="M374" s="1121"/>
      <c r="N374" s="1121"/>
      <c r="O374" s="1121"/>
      <c r="P374" s="1121"/>
      <c r="Q374" s="1121"/>
      <c r="R374" s="1121"/>
      <c r="S374" s="1121"/>
      <c r="T374" s="1121"/>
      <c r="U374" s="1121"/>
      <c r="V374" s="1121"/>
      <c r="W374" s="1121"/>
      <c r="X374" s="1121"/>
      <c r="Y374" s="1121"/>
      <c r="Z374" s="1121"/>
      <c r="AA374" s="1121"/>
      <c r="AB374" s="1121"/>
      <c r="AC374" s="1121"/>
      <c r="AD374" s="1121"/>
      <c r="AE374" s="1121"/>
      <c r="AF374" s="1121"/>
      <c r="AG374" s="1121"/>
      <c r="AH374" s="1121"/>
      <c r="AI374" s="1121"/>
      <c r="AJ374" s="1121"/>
    </row>
    <row r="375" spans="1:36" s="1122" customFormat="1" ht="14.25" customHeight="1">
      <c r="A375" s="1154" t="s">
        <v>221</v>
      </c>
      <c r="B375" s="1127"/>
      <c r="C375" s="1203">
        <v>5810812131.8100004</v>
      </c>
      <c r="D375" s="1127"/>
      <c r="E375" s="1126"/>
      <c r="F375" s="1121"/>
      <c r="G375" s="1200"/>
      <c r="M375" s="1121"/>
      <c r="N375" s="1121"/>
      <c r="O375" s="1121"/>
      <c r="P375" s="1121"/>
      <c r="Q375" s="1121"/>
      <c r="R375" s="1121"/>
      <c r="S375" s="1121"/>
      <c r="T375" s="1121"/>
      <c r="U375" s="1121"/>
      <c r="V375" s="1121"/>
      <c r="W375" s="1121"/>
      <c r="X375" s="1121"/>
      <c r="Y375" s="1121"/>
      <c r="Z375" s="1121"/>
      <c r="AA375" s="1121"/>
      <c r="AB375" s="1121"/>
      <c r="AC375" s="1121"/>
      <c r="AD375" s="1121"/>
      <c r="AE375" s="1121"/>
      <c r="AF375" s="1121"/>
      <c r="AG375" s="1121"/>
      <c r="AH375" s="1121"/>
      <c r="AI375" s="1121"/>
      <c r="AJ375" s="1121"/>
    </row>
    <row r="376" spans="1:36" s="1122" customFormat="1" ht="14.25" customHeight="1">
      <c r="A376" s="1154" t="s">
        <v>468</v>
      </c>
      <c r="B376" s="1127"/>
      <c r="C376" s="1204">
        <v>0.62533340000000004</v>
      </c>
      <c r="D376" s="1127"/>
      <c r="E376" s="1126"/>
      <c r="F376" s="1121"/>
      <c r="G376" s="1200"/>
      <c r="M376" s="1121"/>
      <c r="N376" s="1121"/>
      <c r="O376" s="1121"/>
      <c r="P376" s="1121"/>
      <c r="Q376" s="1121"/>
      <c r="R376" s="1121"/>
      <c r="S376" s="1121"/>
      <c r="T376" s="1121"/>
      <c r="U376" s="1121"/>
      <c r="V376" s="1121"/>
      <c r="W376" s="1121"/>
      <c r="X376" s="1121"/>
      <c r="Y376" s="1121"/>
      <c r="Z376" s="1121"/>
      <c r="AA376" s="1121"/>
      <c r="AB376" s="1121"/>
      <c r="AC376" s="1121"/>
      <c r="AD376" s="1121"/>
      <c r="AE376" s="1121"/>
      <c r="AF376" s="1121"/>
      <c r="AG376" s="1121"/>
      <c r="AH376" s="1121"/>
      <c r="AI376" s="1121"/>
      <c r="AJ376" s="1121"/>
    </row>
    <row r="377" spans="1:36" s="1122" customFormat="1" ht="14.25" customHeight="1">
      <c r="A377" s="1154" t="s">
        <v>42</v>
      </c>
      <c r="B377" s="1127"/>
      <c r="C377" s="1204">
        <v>0</v>
      </c>
      <c r="D377" s="1127"/>
      <c r="E377" s="1126"/>
      <c r="F377" s="1121"/>
      <c r="G377" s="1200"/>
      <c r="M377" s="1121"/>
      <c r="N377" s="1121"/>
      <c r="O377" s="1121"/>
      <c r="P377" s="1121"/>
      <c r="Q377" s="1121"/>
      <c r="R377" s="1121"/>
      <c r="S377" s="1121"/>
      <c r="T377" s="1121"/>
      <c r="U377" s="1121"/>
      <c r="V377" s="1121"/>
      <c r="W377" s="1121"/>
      <c r="X377" s="1121"/>
      <c r="Y377" s="1121"/>
      <c r="Z377" s="1121"/>
      <c r="AA377" s="1121"/>
      <c r="AB377" s="1121"/>
      <c r="AC377" s="1121"/>
      <c r="AD377" s="1121"/>
      <c r="AE377" s="1121"/>
      <c r="AF377" s="1121"/>
      <c r="AG377" s="1121"/>
      <c r="AH377" s="1121"/>
      <c r="AI377" s="1121"/>
      <c r="AJ377" s="1121"/>
    </row>
    <row r="378" spans="1:36" s="1122" customFormat="1" ht="14.25" customHeight="1">
      <c r="A378" s="1154" t="s">
        <v>43</v>
      </c>
      <c r="B378" s="1127"/>
      <c r="C378" s="1205">
        <v>3481529654.5500002</v>
      </c>
      <c r="D378" s="1127"/>
      <c r="E378" s="1126"/>
      <c r="F378" s="1121"/>
      <c r="G378" s="1206"/>
      <c r="M378" s="1121"/>
      <c r="N378" s="1121"/>
      <c r="O378" s="1121"/>
      <c r="P378" s="1121"/>
      <c r="Q378" s="1121"/>
      <c r="R378" s="1121"/>
      <c r="S378" s="1121"/>
      <c r="T378" s="1121"/>
      <c r="U378" s="1121"/>
      <c r="V378" s="1121"/>
      <c r="W378" s="1121"/>
      <c r="X378" s="1121"/>
      <c r="Y378" s="1121"/>
      <c r="Z378" s="1121"/>
      <c r="AA378" s="1121"/>
      <c r="AB378" s="1121"/>
      <c r="AC378" s="1121"/>
      <c r="AD378" s="1121"/>
      <c r="AE378" s="1121"/>
      <c r="AF378" s="1121"/>
      <c r="AG378" s="1121"/>
      <c r="AH378" s="1121"/>
      <c r="AI378" s="1121"/>
      <c r="AJ378" s="1121"/>
    </row>
    <row r="379" spans="1:36" s="1122" customFormat="1" ht="14.25" customHeight="1">
      <c r="A379" s="1154" t="s">
        <v>44</v>
      </c>
      <c r="B379" s="1127"/>
      <c r="C379" s="1204">
        <v>0.37466660000000002</v>
      </c>
      <c r="D379" s="1127"/>
      <c r="E379" s="1126"/>
      <c r="F379" s="1121"/>
      <c r="G379" s="1207"/>
      <c r="M379" s="1121"/>
      <c r="N379" s="1121"/>
      <c r="O379" s="1121"/>
      <c r="P379" s="1121"/>
      <c r="Q379" s="1121"/>
      <c r="R379" s="1121"/>
      <c r="S379" s="1121"/>
      <c r="T379" s="1121"/>
      <c r="U379" s="1121"/>
      <c r="V379" s="1121"/>
      <c r="W379" s="1121"/>
      <c r="X379" s="1121"/>
      <c r="Y379" s="1121"/>
      <c r="Z379" s="1121"/>
      <c r="AA379" s="1121"/>
      <c r="AB379" s="1121"/>
      <c r="AC379" s="1121"/>
      <c r="AD379" s="1121"/>
      <c r="AE379" s="1121"/>
      <c r="AF379" s="1121"/>
      <c r="AG379" s="1121"/>
      <c r="AH379" s="1121"/>
      <c r="AI379" s="1121"/>
      <c r="AJ379" s="1121"/>
    </row>
    <row r="380" spans="1:36" s="1122" customFormat="1" ht="14.25" customHeight="1">
      <c r="A380" s="1154" t="s">
        <v>45</v>
      </c>
      <c r="B380" s="1127"/>
      <c r="C380" s="1205">
        <v>1174488978.6111398</v>
      </c>
      <c r="D380" s="1208"/>
      <c r="E380" s="1126"/>
      <c r="F380" s="1121"/>
      <c r="G380" s="1200"/>
      <c r="M380" s="1121"/>
      <c r="N380" s="1121"/>
      <c r="O380" s="1121"/>
      <c r="P380" s="1121"/>
      <c r="Q380" s="1121"/>
      <c r="R380" s="1121"/>
      <c r="S380" s="1121"/>
      <c r="T380" s="1121"/>
      <c r="U380" s="1121"/>
      <c r="V380" s="1121"/>
      <c r="W380" s="1121"/>
      <c r="X380" s="1121"/>
      <c r="Y380" s="1121"/>
      <c r="Z380" s="1121"/>
      <c r="AA380" s="1121"/>
      <c r="AB380" s="1121"/>
      <c r="AC380" s="1121"/>
      <c r="AD380" s="1121"/>
      <c r="AE380" s="1121"/>
      <c r="AF380" s="1121"/>
      <c r="AG380" s="1121"/>
      <c r="AH380" s="1121"/>
      <c r="AI380" s="1121"/>
      <c r="AJ380" s="1121"/>
    </row>
    <row r="381" spans="1:36" s="1122" customFormat="1" ht="14.25" customHeight="1">
      <c r="A381" s="1154" t="s">
        <v>46</v>
      </c>
      <c r="B381" s="1127"/>
      <c r="C381" s="1209">
        <v>0.12639321772851092</v>
      </c>
      <c r="D381" s="1127"/>
      <c r="E381" s="1126"/>
      <c r="F381" s="1121"/>
      <c r="G381" s="1200"/>
      <c r="M381" s="1121"/>
      <c r="N381" s="1121"/>
      <c r="O381" s="1121"/>
      <c r="P381" s="1121"/>
      <c r="Q381" s="1121"/>
      <c r="R381" s="1121"/>
      <c r="S381" s="1121"/>
      <c r="T381" s="1121"/>
      <c r="U381" s="1121"/>
      <c r="V381" s="1121"/>
      <c r="W381" s="1121"/>
      <c r="X381" s="1121"/>
      <c r="Y381" s="1121"/>
      <c r="Z381" s="1121"/>
      <c r="AA381" s="1121"/>
      <c r="AB381" s="1121"/>
      <c r="AC381" s="1121"/>
      <c r="AD381" s="1121"/>
      <c r="AE381" s="1121"/>
      <c r="AF381" s="1121"/>
      <c r="AG381" s="1121"/>
      <c r="AH381" s="1121"/>
      <c r="AI381" s="1121"/>
      <c r="AJ381" s="1121"/>
    </row>
    <row r="382" spans="1:36" s="1122" customFormat="1" ht="14.25" customHeight="1">
      <c r="A382" s="1210"/>
      <c r="B382" s="1211"/>
      <c r="C382" s="1211"/>
      <c r="D382" s="1162"/>
      <c r="E382" s="1212"/>
      <c r="F382" s="1193"/>
      <c r="G382" s="1187"/>
      <c r="M382" s="1121"/>
      <c r="N382" s="1121"/>
      <c r="O382" s="1121"/>
      <c r="P382" s="1121"/>
      <c r="Q382" s="1121"/>
      <c r="R382" s="1121"/>
      <c r="S382" s="1121"/>
      <c r="T382" s="1121"/>
      <c r="U382" s="1121"/>
      <c r="V382" s="1121"/>
      <c r="W382" s="1121"/>
      <c r="X382" s="1121"/>
      <c r="Y382" s="1121"/>
      <c r="Z382" s="1121"/>
      <c r="AA382" s="1121"/>
      <c r="AB382" s="1121"/>
      <c r="AC382" s="1121"/>
      <c r="AD382" s="1121"/>
      <c r="AE382" s="1121"/>
      <c r="AF382" s="1121"/>
      <c r="AG382" s="1121"/>
      <c r="AH382" s="1121"/>
      <c r="AI382" s="1121"/>
      <c r="AJ382" s="1121"/>
    </row>
    <row r="383" spans="1:36" ht="14.25" customHeight="1">
      <c r="A383" s="285"/>
      <c r="C383" s="33"/>
      <c r="G383" s="35"/>
    </row>
    <row r="384" spans="1:36" ht="14.25" customHeight="1">
      <c r="A384" s="285"/>
      <c r="C384" s="33"/>
      <c r="G384" s="35"/>
    </row>
    <row r="385" spans="1:7" ht="20.25" customHeight="1">
      <c r="A385" s="1049" t="s">
        <v>488</v>
      </c>
      <c r="B385" s="278"/>
      <c r="C385" s="313"/>
      <c r="D385" s="278"/>
      <c r="E385" s="313"/>
      <c r="F385" s="35"/>
      <c r="G385" s="126"/>
    </row>
    <row r="386" spans="1:7">
      <c r="A386" s="114"/>
      <c r="B386" s="278"/>
      <c r="C386" s="477"/>
      <c r="D386" s="278"/>
      <c r="E386" s="313"/>
      <c r="F386" s="35"/>
      <c r="G386" s="311"/>
    </row>
    <row r="387" spans="1:7" ht="15.75">
      <c r="A387" s="1051" t="s">
        <v>48</v>
      </c>
      <c r="B387" s="422"/>
      <c r="C387" s="475"/>
      <c r="D387" s="1052"/>
      <c r="E387" s="1053"/>
      <c r="F387" s="1053"/>
      <c r="G387" s="1054"/>
    </row>
    <row r="388" spans="1:7" ht="15.75">
      <c r="A388" s="530"/>
      <c r="B388" s="278"/>
      <c r="C388" s="313"/>
      <c r="D388" s="314"/>
      <c r="E388" s="315"/>
      <c r="F388" s="315"/>
      <c r="G388" s="443"/>
    </row>
    <row r="389" spans="1:7">
      <c r="A389" s="708" t="s">
        <v>55</v>
      </c>
      <c r="B389" s="278"/>
      <c r="C389" s="314" t="s">
        <v>495</v>
      </c>
      <c r="D389" s="315" t="s">
        <v>496</v>
      </c>
      <c r="E389" s="315" t="s">
        <v>497</v>
      </c>
      <c r="F389" s="315" t="s">
        <v>1055</v>
      </c>
      <c r="G389" s="65"/>
    </row>
    <row r="390" spans="1:7">
      <c r="A390" s="708"/>
      <c r="B390" s="278"/>
      <c r="C390" s="314"/>
      <c r="D390" s="315"/>
      <c r="E390" s="124"/>
      <c r="F390" s="35"/>
      <c r="G390" s="65"/>
    </row>
    <row r="391" spans="1:7">
      <c r="A391" s="709" t="s">
        <v>49</v>
      </c>
      <c r="B391" s="278"/>
      <c r="C391" s="710" t="s">
        <v>655</v>
      </c>
      <c r="D391" s="710" t="s">
        <v>655</v>
      </c>
      <c r="E391" s="710" t="s">
        <v>655</v>
      </c>
      <c r="F391" s="710" t="s">
        <v>655</v>
      </c>
      <c r="G391" s="65"/>
    </row>
    <row r="392" spans="1:7">
      <c r="A392" s="711" t="s">
        <v>50</v>
      </c>
      <c r="B392" s="712"/>
      <c r="C392" s="320">
        <v>14655791.49</v>
      </c>
      <c r="D392" s="58">
        <v>13367330.630000001</v>
      </c>
      <c r="E392" s="58"/>
      <c r="F392" s="713">
        <v>28023122.120000001</v>
      </c>
      <c r="G392" s="65"/>
    </row>
    <row r="393" spans="1:7">
      <c r="A393" s="1458" t="s">
        <v>1109</v>
      </c>
      <c r="B393" s="278"/>
      <c r="C393" s="320">
        <v>2261861.4700000002</v>
      </c>
      <c r="D393" s="58">
        <v>1937546.84</v>
      </c>
      <c r="E393" s="58"/>
      <c r="F393" s="713">
        <v>4199408.3100000005</v>
      </c>
      <c r="G393" s="65"/>
    </row>
    <row r="394" spans="1:7">
      <c r="A394" s="711" t="s">
        <v>127</v>
      </c>
      <c r="B394" s="278"/>
      <c r="C394" s="58">
        <v>0</v>
      </c>
      <c r="D394" s="58">
        <v>0</v>
      </c>
      <c r="E394" s="58"/>
      <c r="F394" s="58">
        <v>0</v>
      </c>
      <c r="G394" s="65"/>
    </row>
    <row r="395" spans="1:7">
      <c r="A395" s="711" t="s">
        <v>277</v>
      </c>
      <c r="B395" s="278"/>
      <c r="C395" s="320">
        <v>42004.61</v>
      </c>
      <c r="D395" s="1454">
        <v>36495.949999999997</v>
      </c>
      <c r="E395" s="1454"/>
      <c r="F395" s="713">
        <v>78500.56</v>
      </c>
      <c r="G395" s="65"/>
    </row>
    <row r="396" spans="1:7">
      <c r="A396" s="711" t="s">
        <v>129</v>
      </c>
      <c r="B396" s="278"/>
      <c r="C396" s="58">
        <v>0</v>
      </c>
      <c r="D396" s="58">
        <v>0</v>
      </c>
      <c r="E396" s="58"/>
      <c r="F396" s="58">
        <v>0</v>
      </c>
      <c r="G396" s="65"/>
    </row>
    <row r="397" spans="1:7" ht="15.75" customHeight="1" thickBot="1">
      <c r="A397" s="423"/>
      <c r="B397" s="1048" t="s">
        <v>49</v>
      </c>
      <c r="C397" s="113">
        <v>16959657.57</v>
      </c>
      <c r="D397" s="1047">
        <v>15341373.42</v>
      </c>
      <c r="E397" s="1047">
        <v>0</v>
      </c>
      <c r="F397" s="113">
        <v>32301030.989999998</v>
      </c>
      <c r="G397" s="65"/>
    </row>
    <row r="398" spans="1:7" ht="13.5" thickTop="1">
      <c r="A398" s="714"/>
      <c r="B398" s="278"/>
      <c r="C398" s="313"/>
      <c r="D398" s="278"/>
      <c r="E398" s="278"/>
      <c r="F398" s="35"/>
      <c r="G398" s="65"/>
    </row>
    <row r="399" spans="1:7">
      <c r="A399" s="709" t="s">
        <v>130</v>
      </c>
      <c r="B399" s="715"/>
      <c r="C399" s="710" t="s">
        <v>655</v>
      </c>
      <c r="D399" s="710" t="s">
        <v>655</v>
      </c>
      <c r="E399" s="710" t="s">
        <v>655</v>
      </c>
      <c r="F399" s="710" t="s">
        <v>655</v>
      </c>
      <c r="G399" s="65"/>
    </row>
    <row r="400" spans="1:7">
      <c r="A400" s="711" t="s">
        <v>132</v>
      </c>
      <c r="B400" s="715"/>
      <c r="C400" s="1308">
        <v>408783.31</v>
      </c>
      <c r="D400" s="1310">
        <v>390414.13</v>
      </c>
      <c r="E400" s="58"/>
      <c r="F400" s="713">
        <v>799197.44</v>
      </c>
      <c r="G400" s="65"/>
    </row>
    <row r="401" spans="1:7">
      <c r="A401" s="711" t="s">
        <v>133</v>
      </c>
      <c r="B401" s="715"/>
      <c r="C401" s="1309">
        <v>6329686.5599999996</v>
      </c>
      <c r="D401" s="1310">
        <v>5714020.4199999999</v>
      </c>
      <c r="E401" s="58"/>
      <c r="F401" s="713">
        <v>12043706.98</v>
      </c>
      <c r="G401" s="65"/>
    </row>
    <row r="402" spans="1:7">
      <c r="A402" s="711" t="s">
        <v>134</v>
      </c>
      <c r="B402" s="278"/>
      <c r="C402" s="1311">
        <v>10221187.699999999</v>
      </c>
      <c r="D402" s="1310">
        <v>9236938.8699999992</v>
      </c>
      <c r="E402" s="58"/>
      <c r="F402" s="713">
        <v>19458126.57</v>
      </c>
      <c r="G402" s="65"/>
    </row>
    <row r="403" spans="1:7">
      <c r="A403" s="711" t="s">
        <v>936</v>
      </c>
      <c r="B403" s="278"/>
      <c r="C403" s="58">
        <v>0</v>
      </c>
      <c r="D403" s="58">
        <v>0</v>
      </c>
      <c r="E403" s="58"/>
      <c r="F403" s="58">
        <v>0</v>
      </c>
      <c r="G403" s="65"/>
    </row>
    <row r="404" spans="1:7" ht="13.5" customHeight="1" thickBot="1">
      <c r="A404" s="423"/>
      <c r="B404" s="278"/>
      <c r="C404" s="113">
        <v>16959657.57</v>
      </c>
      <c r="D404" s="1047">
        <v>15341373.419999998</v>
      </c>
      <c r="E404" s="1047">
        <v>0</v>
      </c>
      <c r="F404" s="113">
        <v>32301030.990000002</v>
      </c>
      <c r="G404" s="65"/>
    </row>
    <row r="405" spans="1:7" ht="13.5" customHeight="1" thickTop="1">
      <c r="A405" s="423"/>
      <c r="B405" s="278"/>
      <c r="C405" s="278"/>
      <c r="D405" s="278"/>
      <c r="E405" s="278"/>
      <c r="F405" s="278"/>
      <c r="G405" s="65"/>
    </row>
    <row r="406" spans="1:7" ht="13.5" customHeight="1">
      <c r="A406" s="719"/>
      <c r="B406" s="278"/>
      <c r="C406" s="313"/>
      <c r="D406" s="278"/>
      <c r="E406" s="720"/>
      <c r="F406" s="35"/>
      <c r="G406" s="65"/>
    </row>
    <row r="407" spans="1:7" ht="13.5" customHeight="1">
      <c r="A407" s="709" t="s">
        <v>185</v>
      </c>
      <c r="B407" s="278"/>
      <c r="C407" s="710" t="s">
        <v>655</v>
      </c>
      <c r="D407" s="710" t="s">
        <v>655</v>
      </c>
      <c r="E407" s="710" t="s">
        <v>655</v>
      </c>
      <c r="F407" s="710" t="s">
        <v>655</v>
      </c>
      <c r="G407" s="65"/>
    </row>
    <row r="408" spans="1:7" ht="13.5" customHeight="1">
      <c r="A408" s="711" t="s">
        <v>186</v>
      </c>
      <c r="B408" s="278"/>
      <c r="C408" s="278">
        <v>130943456.11</v>
      </c>
      <c r="D408" s="58">
        <v>138981282.09</v>
      </c>
      <c r="E408" s="58"/>
      <c r="F408" s="278">
        <v>269924738.19999999</v>
      </c>
      <c r="G408" s="65"/>
    </row>
    <row r="409" spans="1:7" ht="13.5" customHeight="1">
      <c r="A409" s="1458" t="s">
        <v>1110</v>
      </c>
      <c r="B409" s="278"/>
      <c r="C409" s="278">
        <v>16026425.560000001</v>
      </c>
      <c r="D409" s="58">
        <v>14297175.66</v>
      </c>
      <c r="E409" s="58"/>
      <c r="F409" s="278">
        <v>30323601.219999999</v>
      </c>
      <c r="G409" s="65"/>
    </row>
    <row r="410" spans="1:7" ht="13.5" customHeight="1">
      <c r="A410" s="711" t="s">
        <v>187</v>
      </c>
      <c r="B410" s="278"/>
      <c r="C410" s="58">
        <v>0</v>
      </c>
      <c r="D410" s="58">
        <v>0</v>
      </c>
      <c r="E410" s="58"/>
      <c r="F410" s="58">
        <v>0</v>
      </c>
      <c r="G410" s="65"/>
    </row>
    <row r="411" spans="1:7" ht="13.5" customHeight="1">
      <c r="A411" s="711" t="s">
        <v>188</v>
      </c>
      <c r="B411" s="278"/>
      <c r="C411" s="58">
        <v>0</v>
      </c>
      <c r="D411" s="58">
        <v>0</v>
      </c>
      <c r="E411" s="58"/>
      <c r="F411" s="58">
        <v>0</v>
      </c>
      <c r="G411" s="65"/>
    </row>
    <row r="412" spans="1:7" ht="13.5" customHeight="1" thickBot="1">
      <c r="A412" s="711"/>
      <c r="B412" s="1048" t="s">
        <v>185</v>
      </c>
      <c r="C412" s="113">
        <v>146969881.66999999</v>
      </c>
      <c r="D412" s="1047">
        <v>153278457.75</v>
      </c>
      <c r="E412" s="1047">
        <v>0</v>
      </c>
      <c r="F412" s="113">
        <v>300248339.41999996</v>
      </c>
      <c r="G412" s="65"/>
    </row>
    <row r="413" spans="1:7" ht="13.5" customHeight="1" thickTop="1">
      <c r="A413" s="711"/>
      <c r="B413" s="278"/>
      <c r="C413" s="313"/>
      <c r="D413" s="278"/>
      <c r="E413" s="278"/>
      <c r="F413" s="278"/>
      <c r="G413" s="65"/>
    </row>
    <row r="414" spans="1:7" ht="13.5" customHeight="1">
      <c r="A414" s="709" t="s">
        <v>189</v>
      </c>
      <c r="B414" s="278"/>
      <c r="C414" s="710" t="s">
        <v>655</v>
      </c>
      <c r="D414" s="710" t="s">
        <v>655</v>
      </c>
      <c r="E414" s="710" t="s">
        <v>655</v>
      </c>
      <c r="F414" s="710" t="s">
        <v>655</v>
      </c>
      <c r="G414" s="65"/>
    </row>
    <row r="415" spans="1:7" ht="13.5" customHeight="1">
      <c r="A415" s="711" t="s">
        <v>190</v>
      </c>
      <c r="B415" s="278"/>
      <c r="C415" s="58">
        <v>0</v>
      </c>
      <c r="D415" s="58">
        <v>0</v>
      </c>
      <c r="E415" s="58"/>
      <c r="F415" s="58">
        <v>0</v>
      </c>
      <c r="G415" s="65"/>
    </row>
    <row r="416" spans="1:7" ht="13.5" customHeight="1">
      <c r="A416" s="711" t="s">
        <v>191</v>
      </c>
      <c r="B416" s="278"/>
      <c r="C416" s="58">
        <v>0</v>
      </c>
      <c r="D416" s="58">
        <v>0</v>
      </c>
      <c r="E416" s="58"/>
      <c r="F416" s="58">
        <v>0</v>
      </c>
      <c r="G416" s="65"/>
    </row>
    <row r="417" spans="1:36" ht="13.5" customHeight="1">
      <c r="A417" s="1458" t="s">
        <v>1111</v>
      </c>
      <c r="B417" s="278"/>
      <c r="C417" s="58">
        <v>3527167.01</v>
      </c>
      <c r="D417" s="58">
        <v>3228398.18</v>
      </c>
      <c r="E417" s="58"/>
      <c r="F417" s="58">
        <v>6755565.1899999995</v>
      </c>
      <c r="G417" s="65"/>
    </row>
    <row r="418" spans="1:36" ht="13.5" customHeight="1">
      <c r="A418" s="711" t="s">
        <v>1071</v>
      </c>
      <c r="B418" s="278"/>
      <c r="C418" s="58">
        <v>0</v>
      </c>
      <c r="D418" s="58">
        <v>0</v>
      </c>
      <c r="E418" s="58"/>
      <c r="F418" s="58">
        <v>0</v>
      </c>
      <c r="G418" s="65"/>
    </row>
    <row r="419" spans="1:36" ht="13.5" customHeight="1">
      <c r="A419" s="711" t="s">
        <v>1072</v>
      </c>
      <c r="B419" s="278"/>
      <c r="C419" s="58">
        <v>0</v>
      </c>
      <c r="D419" s="58">
        <v>0</v>
      </c>
      <c r="E419" s="58"/>
      <c r="F419" s="58">
        <v>0</v>
      </c>
      <c r="G419" s="65"/>
    </row>
    <row r="420" spans="1:36" ht="13.5" customHeight="1">
      <c r="A420" s="711" t="s">
        <v>192</v>
      </c>
      <c r="B420" s="278"/>
      <c r="C420" s="58">
        <v>82779562.459999993</v>
      </c>
      <c r="D420" s="58">
        <v>-13707.48</v>
      </c>
      <c r="E420" s="58"/>
      <c r="F420" s="58">
        <v>82765854.979999989</v>
      </c>
      <c r="G420" s="65"/>
    </row>
    <row r="421" spans="1:36" ht="13.5" customHeight="1">
      <c r="A421" s="711" t="s">
        <v>193</v>
      </c>
      <c r="B421" s="278"/>
      <c r="C421" s="58">
        <v>0</v>
      </c>
      <c r="D421" s="58">
        <v>0</v>
      </c>
      <c r="E421" s="58"/>
      <c r="F421" s="58">
        <v>0</v>
      </c>
      <c r="G421" s="65"/>
    </row>
    <row r="422" spans="1:36" ht="13.5" customHeight="1">
      <c r="A422" s="711" t="s">
        <v>194</v>
      </c>
      <c r="B422" s="278"/>
      <c r="C422" s="58">
        <v>0</v>
      </c>
      <c r="D422" s="58">
        <v>0</v>
      </c>
      <c r="E422" s="58"/>
      <c r="F422" s="58">
        <v>0</v>
      </c>
      <c r="G422" s="65"/>
    </row>
    <row r="423" spans="1:36" ht="13.5" customHeight="1">
      <c r="A423" s="711" t="s">
        <v>195</v>
      </c>
      <c r="B423" s="278"/>
      <c r="C423" s="58">
        <v>0</v>
      </c>
      <c r="D423" s="58">
        <v>0</v>
      </c>
      <c r="E423" s="58"/>
      <c r="F423" s="58">
        <v>0</v>
      </c>
      <c r="G423" s="65"/>
    </row>
    <row r="424" spans="1:36" ht="13.5" customHeight="1">
      <c r="A424" s="711" t="s">
        <v>196</v>
      </c>
      <c r="B424" s="278"/>
      <c r="C424" s="58">
        <v>60663152.200000003</v>
      </c>
      <c r="D424" s="58">
        <v>150063767.05000001</v>
      </c>
      <c r="E424" s="58"/>
      <c r="F424" s="58">
        <v>210726919.25</v>
      </c>
      <c r="G424" s="65"/>
    </row>
    <row r="425" spans="1:36" ht="13.5" customHeight="1">
      <c r="A425" s="711" t="s">
        <v>197</v>
      </c>
      <c r="B425" s="278"/>
      <c r="C425" s="58">
        <v>0</v>
      </c>
      <c r="D425" s="58">
        <v>0</v>
      </c>
      <c r="E425" s="58"/>
      <c r="F425" s="58">
        <v>0</v>
      </c>
      <c r="G425" s="65"/>
    </row>
    <row r="426" spans="1:36" ht="13.5" customHeight="1" thickBot="1">
      <c r="A426" s="711"/>
      <c r="B426" s="278"/>
      <c r="C426" s="113">
        <v>146969881.67000002</v>
      </c>
      <c r="D426" s="1047">
        <v>153278457.75</v>
      </c>
      <c r="E426" s="1047">
        <v>0</v>
      </c>
      <c r="F426" s="113">
        <v>300248339.41999996</v>
      </c>
      <c r="G426" s="65"/>
    </row>
    <row r="427" spans="1:36" ht="13.5" customHeight="1" thickTop="1">
      <c r="A427" s="1055"/>
      <c r="B427" s="426"/>
      <c r="C427" s="427"/>
      <c r="D427" s="426"/>
      <c r="E427" s="427"/>
      <c r="F427" s="89"/>
      <c r="G427" s="67"/>
    </row>
    <row r="428" spans="1:36" ht="13.5" customHeight="1">
      <c r="A428" s="1040"/>
      <c r="B428" s="278"/>
      <c r="C428" s="313"/>
      <c r="D428" s="278"/>
      <c r="E428" s="313"/>
      <c r="F428" s="35"/>
      <c r="G428" s="35"/>
    </row>
    <row r="429" spans="1:36" ht="13.5" customHeight="1">
      <c r="A429" s="1040"/>
      <c r="B429" s="278"/>
      <c r="C429" s="313"/>
      <c r="D429" s="278"/>
      <c r="E429" s="313"/>
      <c r="F429" s="35"/>
      <c r="G429" s="35"/>
    </row>
    <row r="430" spans="1:36" s="1122" customFormat="1">
      <c r="A430" s="1123"/>
      <c r="B430" s="1124"/>
      <c r="C430" s="1124"/>
      <c r="D430" s="1124"/>
      <c r="E430" s="1118"/>
      <c r="F430" s="1119"/>
      <c r="G430" s="1120"/>
      <c r="H430" s="1120"/>
      <c r="I430" s="1120"/>
      <c r="J430" s="1120"/>
      <c r="K430" s="1121"/>
      <c r="M430" s="1121"/>
      <c r="N430" s="1121"/>
      <c r="O430" s="1121"/>
      <c r="P430" s="1121"/>
      <c r="Q430" s="1121"/>
      <c r="R430" s="1121"/>
      <c r="S430" s="1121"/>
      <c r="T430" s="1121"/>
      <c r="U430" s="1121"/>
      <c r="V430" s="1121"/>
      <c r="W430" s="1121"/>
      <c r="X430" s="1121"/>
      <c r="Y430" s="1121"/>
      <c r="Z430" s="1121"/>
      <c r="AA430" s="1121"/>
      <c r="AB430" s="1121"/>
      <c r="AC430" s="1121"/>
      <c r="AD430" s="1121"/>
      <c r="AE430" s="1121"/>
      <c r="AF430" s="1121"/>
      <c r="AG430" s="1121"/>
      <c r="AH430" s="1121"/>
      <c r="AI430" s="1121"/>
      <c r="AJ430" s="1121"/>
    </row>
    <row r="431" spans="1:36" s="1122" customFormat="1">
      <c r="A431" s="1123"/>
      <c r="B431" s="1124"/>
      <c r="C431" s="1124"/>
      <c r="D431" s="1124"/>
      <c r="E431" s="1118"/>
      <c r="F431" s="1119"/>
      <c r="G431" s="1120"/>
      <c r="H431" s="1120"/>
      <c r="I431" s="1120"/>
      <c r="J431" s="1120"/>
      <c r="K431" s="1121"/>
      <c r="M431" s="1121"/>
      <c r="N431" s="1121"/>
      <c r="O431" s="1121"/>
      <c r="P431" s="1121"/>
      <c r="Q431" s="1121"/>
      <c r="R431" s="1121"/>
      <c r="S431" s="1121"/>
      <c r="T431" s="1121"/>
      <c r="U431" s="1121"/>
      <c r="V431" s="1121"/>
      <c r="W431" s="1121"/>
      <c r="X431" s="1121"/>
      <c r="Y431" s="1121"/>
      <c r="Z431" s="1121"/>
      <c r="AA431" s="1121"/>
      <c r="AB431" s="1121"/>
      <c r="AC431" s="1121"/>
      <c r="AD431" s="1121"/>
      <c r="AE431" s="1121"/>
      <c r="AF431" s="1121"/>
      <c r="AG431" s="1121"/>
      <c r="AH431" s="1121"/>
      <c r="AI431" s="1121"/>
      <c r="AJ431" s="1121"/>
    </row>
    <row r="432" spans="1:36" s="1122" customFormat="1" ht="27" customHeight="1">
      <c r="A432" s="1344" t="s">
        <v>198</v>
      </c>
      <c r="B432" s="1345" t="s">
        <v>1118</v>
      </c>
      <c r="C432" s="1345" t="s">
        <v>1119</v>
      </c>
      <c r="D432" s="1346" t="s">
        <v>1120</v>
      </c>
      <c r="E432" s="1347" t="s">
        <v>1073</v>
      </c>
      <c r="F432" s="1125"/>
      <c r="G432" s="1120"/>
      <c r="H432" s="1125"/>
      <c r="I432" s="1125"/>
      <c r="J432" s="1120"/>
      <c r="K432" s="1121"/>
      <c r="M432" s="1121"/>
      <c r="N432" s="1121"/>
      <c r="O432" s="1121"/>
      <c r="P432" s="1121"/>
      <c r="Q432" s="1121"/>
      <c r="R432" s="1121"/>
      <c r="S432" s="1121"/>
      <c r="T432" s="1121"/>
      <c r="U432" s="1121"/>
      <c r="V432" s="1121"/>
      <c r="W432" s="1121"/>
      <c r="X432" s="1121"/>
      <c r="Y432" s="1121"/>
      <c r="Z432" s="1121"/>
      <c r="AA432" s="1121"/>
      <c r="AB432" s="1121"/>
      <c r="AC432" s="1121"/>
      <c r="AD432" s="1121"/>
      <c r="AE432" s="1121"/>
      <c r="AF432" s="1121"/>
      <c r="AG432" s="1121"/>
      <c r="AH432" s="1121"/>
      <c r="AI432" s="1121"/>
      <c r="AJ432" s="1121"/>
    </row>
    <row r="433" spans="1:36" s="1122" customFormat="1">
      <c r="A433" s="1348" t="s">
        <v>1056</v>
      </c>
      <c r="B433" s="1349"/>
      <c r="C433" s="1349"/>
      <c r="D433" s="1350"/>
      <c r="E433" s="1351"/>
      <c r="F433" s="1125"/>
      <c r="G433" s="1120"/>
      <c r="H433" s="1125"/>
      <c r="I433" s="1125"/>
      <c r="J433" s="1120"/>
      <c r="K433" s="1121"/>
      <c r="M433" s="1121"/>
      <c r="N433" s="1121"/>
      <c r="O433" s="1121"/>
      <c r="P433" s="1121"/>
      <c r="Q433" s="1121"/>
      <c r="R433" s="1121"/>
      <c r="S433" s="1121"/>
      <c r="T433" s="1121"/>
      <c r="U433" s="1121"/>
      <c r="V433" s="1121"/>
      <c r="W433" s="1121"/>
      <c r="X433" s="1121"/>
      <c r="Y433" s="1121"/>
      <c r="Z433" s="1121"/>
      <c r="AA433" s="1121"/>
      <c r="AB433" s="1121"/>
      <c r="AC433" s="1121"/>
      <c r="AD433" s="1121"/>
      <c r="AE433" s="1121"/>
      <c r="AF433" s="1121"/>
      <c r="AG433" s="1121"/>
      <c r="AH433" s="1121"/>
      <c r="AI433" s="1121"/>
      <c r="AJ433" s="1121"/>
    </row>
    <row r="434" spans="1:36" s="1122" customFormat="1">
      <c r="A434" s="1352"/>
      <c r="B434" s="1349"/>
      <c r="C434" s="1349"/>
      <c r="D434" s="1353"/>
      <c r="E434" s="1354"/>
      <c r="F434" s="1125"/>
      <c r="G434" s="1120"/>
      <c r="H434" s="1125"/>
      <c r="I434" s="1125"/>
      <c r="J434" s="1120"/>
      <c r="K434" s="1121"/>
      <c r="M434" s="1121"/>
      <c r="N434" s="1121"/>
      <c r="O434" s="1121"/>
      <c r="P434" s="1121"/>
      <c r="Q434" s="1121"/>
      <c r="R434" s="1121"/>
      <c r="S434" s="1121"/>
      <c r="T434" s="1121"/>
      <c r="U434" s="1121"/>
      <c r="V434" s="1121"/>
      <c r="W434" s="1121"/>
      <c r="X434" s="1121"/>
      <c r="Y434" s="1121"/>
      <c r="Z434" s="1121"/>
      <c r="AA434" s="1121"/>
      <c r="AB434" s="1121"/>
      <c r="AC434" s="1121"/>
      <c r="AD434" s="1121"/>
      <c r="AE434" s="1121"/>
      <c r="AF434" s="1121"/>
      <c r="AG434" s="1121"/>
      <c r="AH434" s="1121"/>
      <c r="AI434" s="1121"/>
      <c r="AJ434" s="1121"/>
    </row>
    <row r="435" spans="1:36" s="1122" customFormat="1">
      <c r="A435" s="1355" t="s">
        <v>201</v>
      </c>
      <c r="B435" s="1356">
        <v>5898264329.8999996</v>
      </c>
      <c r="C435" s="1356">
        <v>5815486174.2200003</v>
      </c>
      <c r="D435" s="1356"/>
      <c r="E435" s="1357"/>
      <c r="F435" s="1125"/>
      <c r="G435" s="1120"/>
      <c r="H435" s="1125"/>
      <c r="I435" s="1125"/>
      <c r="J435" s="1120"/>
      <c r="K435" s="1121"/>
      <c r="M435" s="1121"/>
      <c r="N435" s="1121"/>
      <c r="O435" s="1121"/>
      <c r="P435" s="1121"/>
      <c r="Q435" s="1121"/>
      <c r="R435" s="1121"/>
      <c r="S435" s="1121"/>
      <c r="T435" s="1121"/>
      <c r="U435" s="1121"/>
      <c r="V435" s="1121"/>
      <c r="W435" s="1121"/>
      <c r="X435" s="1121"/>
      <c r="Y435" s="1121"/>
      <c r="Z435" s="1121"/>
      <c r="AA435" s="1121"/>
      <c r="AB435" s="1121"/>
      <c r="AC435" s="1121"/>
      <c r="AD435" s="1121"/>
      <c r="AE435" s="1121"/>
      <c r="AF435" s="1121"/>
      <c r="AG435" s="1121"/>
      <c r="AH435" s="1121"/>
      <c r="AI435" s="1121"/>
      <c r="AJ435" s="1121"/>
    </row>
    <row r="436" spans="1:36" s="1122" customFormat="1" ht="15" customHeight="1">
      <c r="A436" s="1358"/>
      <c r="B436" s="1359"/>
      <c r="C436" s="1360"/>
      <c r="D436" s="1360"/>
      <c r="E436" s="1357"/>
      <c r="F436" s="1125"/>
      <c r="G436" s="1120"/>
      <c r="H436" s="1125"/>
      <c r="I436" s="1125"/>
      <c r="J436" s="1120"/>
      <c r="K436" s="1121"/>
      <c r="M436" s="1121"/>
      <c r="N436" s="1121"/>
      <c r="O436" s="1121"/>
      <c r="P436" s="1121"/>
      <c r="Q436" s="1121"/>
      <c r="R436" s="1121"/>
      <c r="S436" s="1121"/>
      <c r="T436" s="1121"/>
      <c r="U436" s="1121"/>
      <c r="V436" s="1121"/>
      <c r="W436" s="1121"/>
      <c r="X436" s="1121"/>
      <c r="Y436" s="1121"/>
      <c r="Z436" s="1121"/>
      <c r="AA436" s="1121"/>
      <c r="AB436" s="1121"/>
      <c r="AC436" s="1121"/>
      <c r="AD436" s="1121"/>
      <c r="AE436" s="1121"/>
      <c r="AF436" s="1121"/>
      <c r="AG436" s="1121"/>
      <c r="AH436" s="1121"/>
      <c r="AI436" s="1121"/>
      <c r="AJ436" s="1121"/>
    </row>
    <row r="437" spans="1:36" s="1122" customFormat="1">
      <c r="A437" s="1355" t="s">
        <v>199</v>
      </c>
      <c r="B437" s="1361">
        <v>-9619977.4140405133</v>
      </c>
      <c r="C437" s="1361">
        <v>-9030646.371625362</v>
      </c>
      <c r="D437" s="1361"/>
      <c r="E437" s="1361">
        <v>-18650623.785665877</v>
      </c>
      <c r="F437" s="1125"/>
      <c r="G437" s="1120"/>
      <c r="H437" s="1125"/>
      <c r="I437" s="1125"/>
      <c r="J437" s="1120"/>
      <c r="K437" s="1121"/>
      <c r="M437" s="1121"/>
      <c r="N437" s="1121"/>
      <c r="O437" s="1121"/>
      <c r="P437" s="1121"/>
      <c r="Q437" s="1121"/>
      <c r="R437" s="1121"/>
      <c r="S437" s="1121"/>
      <c r="T437" s="1121"/>
      <c r="U437" s="1121"/>
      <c r="V437" s="1121"/>
      <c r="W437" s="1121"/>
      <c r="X437" s="1121"/>
      <c r="Y437" s="1121"/>
      <c r="Z437" s="1121"/>
      <c r="AA437" s="1121"/>
      <c r="AB437" s="1121"/>
      <c r="AC437" s="1121"/>
      <c r="AD437" s="1121"/>
      <c r="AE437" s="1121"/>
      <c r="AF437" s="1121"/>
      <c r="AG437" s="1121"/>
      <c r="AH437" s="1121"/>
      <c r="AI437" s="1121"/>
      <c r="AJ437" s="1121"/>
    </row>
    <row r="438" spans="1:36" s="1122" customFormat="1">
      <c r="A438" s="1355" t="s">
        <v>601</v>
      </c>
      <c r="B438" s="1362">
        <v>1.9218300000000001E-2</v>
      </c>
      <c r="C438" s="1362">
        <v>1.8908399999999999E-2</v>
      </c>
      <c r="D438" s="1362"/>
      <c r="E438" s="1357"/>
      <c r="F438" s="1125"/>
      <c r="G438" s="1120"/>
      <c r="H438" s="1125"/>
      <c r="I438" s="1125"/>
      <c r="J438" s="1120"/>
      <c r="K438" s="1121"/>
      <c r="M438" s="1121"/>
      <c r="N438" s="1121"/>
      <c r="O438" s="1121"/>
      <c r="P438" s="1121"/>
      <c r="Q438" s="1121"/>
      <c r="R438" s="1121"/>
      <c r="S438" s="1121"/>
      <c r="T438" s="1121"/>
      <c r="U438" s="1121"/>
      <c r="V438" s="1121"/>
      <c r="W438" s="1121"/>
      <c r="X438" s="1121"/>
      <c r="Y438" s="1121"/>
      <c r="Z438" s="1121"/>
      <c r="AA438" s="1121"/>
      <c r="AB438" s="1121"/>
      <c r="AC438" s="1121"/>
      <c r="AD438" s="1121"/>
      <c r="AE438" s="1121"/>
      <c r="AF438" s="1121"/>
      <c r="AG438" s="1121"/>
      <c r="AH438" s="1121"/>
      <c r="AI438" s="1121"/>
      <c r="AJ438" s="1121"/>
    </row>
    <row r="439" spans="1:36" s="1122" customFormat="1">
      <c r="A439" s="1355"/>
      <c r="B439" s="1359"/>
      <c r="C439" s="1359"/>
      <c r="D439" s="1359"/>
      <c r="E439" s="1363"/>
      <c r="F439" s="1119"/>
      <c r="G439" s="1120"/>
      <c r="H439" s="1120"/>
      <c r="I439" s="1120"/>
      <c r="J439" s="1120"/>
      <c r="K439" s="1121"/>
      <c r="M439" s="1121"/>
      <c r="N439" s="1121"/>
      <c r="O439" s="1121"/>
      <c r="P439" s="1121"/>
      <c r="Q439" s="1121"/>
      <c r="R439" s="1121"/>
      <c r="S439" s="1121"/>
      <c r="T439" s="1121"/>
      <c r="U439" s="1121"/>
      <c r="V439" s="1121"/>
      <c r="W439" s="1121"/>
      <c r="X439" s="1121"/>
      <c r="Y439" s="1121"/>
      <c r="Z439" s="1121"/>
      <c r="AA439" s="1121"/>
      <c r="AB439" s="1121"/>
      <c r="AC439" s="1121"/>
      <c r="AD439" s="1121"/>
      <c r="AE439" s="1121"/>
      <c r="AF439" s="1121"/>
      <c r="AG439" s="1121"/>
      <c r="AH439" s="1121"/>
      <c r="AI439" s="1121"/>
      <c r="AJ439" s="1121"/>
    </row>
    <row r="440" spans="1:36" s="1122" customFormat="1">
      <c r="A440" s="1355" t="s">
        <v>1057</v>
      </c>
      <c r="B440" s="1361">
        <v>11357599.950961245</v>
      </c>
      <c r="C440" s="1361">
        <v>10862964.402280664</v>
      </c>
      <c r="D440" s="1361"/>
      <c r="E440" s="1361">
        <v>22220564.353241909</v>
      </c>
      <c r="F440" s="1119"/>
      <c r="G440" s="1120"/>
      <c r="H440" s="1120"/>
      <c r="I440" s="1120"/>
      <c r="J440" s="1120"/>
      <c r="K440" s="1121"/>
      <c r="M440" s="1121"/>
      <c r="N440" s="1121"/>
      <c r="O440" s="1121"/>
      <c r="P440" s="1121"/>
      <c r="Q440" s="1121"/>
      <c r="R440" s="1121"/>
      <c r="S440" s="1121"/>
      <c r="T440" s="1121"/>
      <c r="U440" s="1121"/>
      <c r="V440" s="1121"/>
      <c r="W440" s="1121"/>
      <c r="X440" s="1121"/>
      <c r="Y440" s="1121"/>
      <c r="Z440" s="1121"/>
      <c r="AA440" s="1121"/>
      <c r="AB440" s="1121"/>
      <c r="AC440" s="1121"/>
      <c r="AD440" s="1121"/>
      <c r="AE440" s="1121"/>
      <c r="AF440" s="1121"/>
      <c r="AG440" s="1121"/>
      <c r="AH440" s="1121"/>
      <c r="AI440" s="1121"/>
      <c r="AJ440" s="1121"/>
    </row>
    <row r="441" spans="1:36" s="1122" customFormat="1">
      <c r="A441" s="1355" t="s">
        <v>200</v>
      </c>
      <c r="B441" s="1364" t="s">
        <v>668</v>
      </c>
      <c r="C441" s="1364" t="s">
        <v>668</v>
      </c>
      <c r="D441" s="1364"/>
      <c r="E441" s="1363"/>
      <c r="F441" s="1119"/>
      <c r="G441" s="1120"/>
      <c r="H441" s="1120"/>
      <c r="I441" s="1120"/>
      <c r="J441" s="1120"/>
      <c r="K441" s="1121"/>
      <c r="M441" s="1121"/>
      <c r="N441" s="1121"/>
      <c r="O441" s="1121"/>
      <c r="P441" s="1121"/>
      <c r="Q441" s="1121"/>
      <c r="R441" s="1121"/>
      <c r="S441" s="1121"/>
      <c r="T441" s="1121"/>
      <c r="U441" s="1121"/>
      <c r="V441" s="1121"/>
      <c r="W441" s="1121"/>
      <c r="X441" s="1121"/>
      <c r="Y441" s="1121"/>
      <c r="Z441" s="1121"/>
      <c r="AA441" s="1121"/>
      <c r="AB441" s="1121"/>
      <c r="AC441" s="1121"/>
      <c r="AD441" s="1121"/>
      <c r="AE441" s="1121"/>
      <c r="AF441" s="1121"/>
      <c r="AG441" s="1121"/>
      <c r="AH441" s="1121"/>
      <c r="AI441" s="1121"/>
      <c r="AJ441" s="1121"/>
    </row>
    <row r="442" spans="1:36" s="1122" customFormat="1">
      <c r="A442" s="1355"/>
      <c r="B442" s="1364"/>
      <c r="C442" s="1364"/>
      <c r="D442" s="1364"/>
      <c r="E442" s="1363"/>
      <c r="F442" s="1119"/>
      <c r="G442" s="1120"/>
      <c r="H442" s="1120"/>
      <c r="I442" s="1120"/>
      <c r="J442" s="1120"/>
      <c r="K442" s="1121"/>
      <c r="M442" s="1121"/>
      <c r="N442" s="1121"/>
      <c r="O442" s="1121"/>
      <c r="P442" s="1121"/>
      <c r="Q442" s="1121"/>
      <c r="R442" s="1121"/>
      <c r="S442" s="1121"/>
      <c r="T442" s="1121"/>
      <c r="U442" s="1121"/>
      <c r="V442" s="1121"/>
      <c r="W442" s="1121"/>
      <c r="X442" s="1121"/>
      <c r="Y442" s="1121"/>
      <c r="Z442" s="1121"/>
      <c r="AA442" s="1121"/>
      <c r="AB442" s="1121"/>
      <c r="AC442" s="1121"/>
      <c r="AD442" s="1121"/>
      <c r="AE442" s="1121"/>
      <c r="AF442" s="1121"/>
      <c r="AG442" s="1121"/>
      <c r="AH442" s="1121"/>
      <c r="AI442" s="1121"/>
      <c r="AJ442" s="1121"/>
    </row>
    <row r="443" spans="1:36" s="1122" customFormat="1">
      <c r="A443" s="1355" t="s">
        <v>602</v>
      </c>
      <c r="B443" s="1361">
        <v>1737622.5369207319</v>
      </c>
      <c r="C443" s="1361">
        <v>1832318.0306553021</v>
      </c>
      <c r="D443" s="1361"/>
      <c r="E443" s="1361">
        <v>3569940.567576034</v>
      </c>
      <c r="F443" s="1119"/>
      <c r="G443" s="1120"/>
      <c r="H443" s="1120"/>
      <c r="I443" s="1120"/>
      <c r="J443" s="1120"/>
      <c r="K443" s="1121"/>
      <c r="M443" s="1121"/>
      <c r="N443" s="1121"/>
      <c r="O443" s="1121"/>
      <c r="P443" s="1121"/>
      <c r="Q443" s="1121"/>
      <c r="R443" s="1121"/>
      <c r="S443" s="1121"/>
      <c r="T443" s="1121"/>
      <c r="U443" s="1121"/>
      <c r="V443" s="1121"/>
      <c r="W443" s="1121"/>
      <c r="X443" s="1121"/>
      <c r="Y443" s="1121"/>
      <c r="Z443" s="1121"/>
      <c r="AA443" s="1121"/>
      <c r="AB443" s="1121"/>
      <c r="AC443" s="1121"/>
      <c r="AD443" s="1121"/>
      <c r="AE443" s="1121"/>
      <c r="AF443" s="1121"/>
      <c r="AG443" s="1121"/>
      <c r="AH443" s="1121"/>
      <c r="AI443" s="1121"/>
      <c r="AJ443" s="1121"/>
    </row>
    <row r="444" spans="1:36" s="1122" customFormat="1">
      <c r="A444" s="1358"/>
      <c r="B444" s="1365"/>
      <c r="C444" s="1365"/>
      <c r="D444" s="1365"/>
      <c r="E444" s="1363"/>
      <c r="F444" s="1119"/>
      <c r="G444" s="1120"/>
      <c r="H444" s="1120"/>
      <c r="I444" s="1120"/>
      <c r="J444" s="1120"/>
      <c r="K444" s="1121"/>
      <c r="M444" s="1121"/>
      <c r="N444" s="1121"/>
      <c r="O444" s="1121"/>
      <c r="P444" s="1121"/>
      <c r="Q444" s="1121"/>
      <c r="R444" s="1121"/>
      <c r="S444" s="1121"/>
      <c r="T444" s="1121"/>
      <c r="U444" s="1121"/>
      <c r="V444" s="1121"/>
      <c r="W444" s="1121"/>
      <c r="X444" s="1121"/>
      <c r="Y444" s="1121"/>
      <c r="Z444" s="1121"/>
      <c r="AA444" s="1121"/>
      <c r="AB444" s="1121"/>
      <c r="AC444" s="1121"/>
      <c r="AD444" s="1121"/>
      <c r="AE444" s="1121"/>
      <c r="AF444" s="1121"/>
      <c r="AG444" s="1121"/>
      <c r="AH444" s="1121"/>
      <c r="AI444" s="1121"/>
      <c r="AJ444" s="1121"/>
    </row>
    <row r="445" spans="1:36" s="1122" customFormat="1" ht="15.75" customHeight="1">
      <c r="A445" s="1366" t="s">
        <v>603</v>
      </c>
      <c r="B445" s="1367">
        <v>0</v>
      </c>
      <c r="C445" s="1367">
        <v>0</v>
      </c>
      <c r="D445" s="1367">
        <v>0</v>
      </c>
      <c r="E445" s="1368">
        <v>0</v>
      </c>
      <c r="F445" s="1119"/>
      <c r="G445" s="1120"/>
      <c r="H445" s="1120"/>
      <c r="I445" s="1120"/>
      <c r="J445" s="1120"/>
      <c r="K445" s="1121"/>
      <c r="M445" s="1121"/>
      <c r="N445" s="1121"/>
      <c r="O445" s="1121"/>
      <c r="P445" s="1121"/>
      <c r="Q445" s="1121"/>
      <c r="R445" s="1121"/>
      <c r="S445" s="1121"/>
      <c r="T445" s="1121"/>
      <c r="U445" s="1121"/>
      <c r="V445" s="1121"/>
      <c r="W445" s="1121"/>
      <c r="X445" s="1121"/>
      <c r="Y445" s="1121"/>
      <c r="Z445" s="1121"/>
      <c r="AA445" s="1121"/>
      <c r="AB445" s="1121"/>
      <c r="AC445" s="1121"/>
      <c r="AD445" s="1121"/>
      <c r="AE445" s="1121"/>
      <c r="AF445" s="1121"/>
      <c r="AG445" s="1121"/>
      <c r="AH445" s="1121"/>
      <c r="AI445" s="1121"/>
      <c r="AJ445" s="1121"/>
    </row>
    <row r="446" spans="1:36" s="1122" customFormat="1">
      <c r="A446" s="1123"/>
      <c r="B446" s="1128"/>
      <c r="C446" s="1118"/>
      <c r="D446" s="1119"/>
      <c r="E446" s="1119"/>
      <c r="F446" s="1119"/>
      <c r="G446" s="1120"/>
      <c r="H446" s="1120"/>
      <c r="I446" s="1120"/>
      <c r="J446" s="1120"/>
      <c r="K446" s="1121"/>
      <c r="M446" s="1121"/>
      <c r="N446" s="1121"/>
      <c r="O446" s="1121"/>
      <c r="P446" s="1121"/>
      <c r="Q446" s="1121"/>
      <c r="R446" s="1121"/>
      <c r="S446" s="1121"/>
      <c r="T446" s="1121"/>
      <c r="U446" s="1121"/>
      <c r="V446" s="1121"/>
      <c r="W446" s="1121"/>
      <c r="X446" s="1121"/>
      <c r="Y446" s="1121"/>
      <c r="Z446" s="1121"/>
      <c r="AA446" s="1121"/>
      <c r="AB446" s="1121"/>
      <c r="AC446" s="1121"/>
      <c r="AD446" s="1121"/>
      <c r="AE446" s="1121"/>
      <c r="AF446" s="1121"/>
      <c r="AG446" s="1121"/>
      <c r="AH446" s="1121"/>
      <c r="AI446" s="1121"/>
      <c r="AJ446" s="1121"/>
    </row>
    <row r="447" spans="1:36" s="1122" customFormat="1">
      <c r="A447" s="1129"/>
      <c r="B447" s="1117"/>
      <c r="C447" s="1118"/>
      <c r="D447" s="1119"/>
      <c r="E447" s="1119"/>
      <c r="F447" s="1119"/>
      <c r="G447" s="1120"/>
      <c r="H447" s="1120"/>
      <c r="I447" s="1120"/>
      <c r="J447" s="1120"/>
      <c r="K447" s="1121"/>
      <c r="M447" s="1121"/>
      <c r="N447" s="1121"/>
      <c r="O447" s="1121"/>
      <c r="P447" s="1121"/>
      <c r="Q447" s="1121"/>
      <c r="R447" s="1121"/>
      <c r="S447" s="1121"/>
      <c r="T447" s="1121"/>
      <c r="U447" s="1121"/>
      <c r="V447" s="1121"/>
      <c r="W447" s="1121"/>
      <c r="X447" s="1121"/>
      <c r="Y447" s="1121"/>
      <c r="Z447" s="1121"/>
      <c r="AA447" s="1121"/>
      <c r="AB447" s="1121"/>
      <c r="AC447" s="1121"/>
      <c r="AD447" s="1121"/>
      <c r="AE447" s="1121"/>
      <c r="AF447" s="1121"/>
      <c r="AG447" s="1121"/>
      <c r="AH447" s="1121"/>
      <c r="AI447" s="1121"/>
      <c r="AJ447" s="1121"/>
    </row>
    <row r="448" spans="1:36" s="1122" customFormat="1" ht="18.75">
      <c r="A448" s="1130" t="s">
        <v>364</v>
      </c>
      <c r="B448" s="1117"/>
      <c r="C448" s="1118"/>
      <c r="D448" s="1119"/>
      <c r="E448" s="1119"/>
      <c r="F448" s="1119"/>
      <c r="G448" s="1131"/>
      <c r="H448" s="1132"/>
      <c r="I448" s="1131"/>
      <c r="J448" s="1133"/>
      <c r="K448" s="1121"/>
      <c r="M448" s="1121"/>
      <c r="N448" s="1121"/>
      <c r="O448" s="1121"/>
      <c r="P448" s="1121"/>
      <c r="Q448" s="1121"/>
      <c r="R448" s="1121"/>
      <c r="S448" s="1121"/>
      <c r="T448" s="1121"/>
      <c r="U448" s="1121"/>
      <c r="V448" s="1121"/>
      <c r="W448" s="1121"/>
      <c r="X448" s="1121"/>
      <c r="Y448" s="1121"/>
      <c r="Z448" s="1121"/>
      <c r="AA448" s="1121"/>
      <c r="AB448" s="1121"/>
      <c r="AC448" s="1121"/>
      <c r="AD448" s="1121"/>
      <c r="AE448" s="1121"/>
      <c r="AF448" s="1121"/>
      <c r="AG448" s="1121"/>
      <c r="AH448" s="1121"/>
      <c r="AI448" s="1121"/>
      <c r="AJ448" s="1121"/>
    </row>
    <row r="449" spans="1:36" s="1122" customFormat="1">
      <c r="A449" s="1134"/>
      <c r="B449" s="1127"/>
      <c r="C449" s="1126"/>
      <c r="D449" s="1135">
        <v>8</v>
      </c>
      <c r="E449" s="1135">
        <v>8</v>
      </c>
      <c r="F449" s="1135">
        <v>9</v>
      </c>
      <c r="G449" s="1135">
        <v>10</v>
      </c>
      <c r="H449" s="1136"/>
      <c r="I449" s="1137"/>
      <c r="J449" s="1138"/>
      <c r="K449" s="1136"/>
      <c r="L449" s="1139"/>
      <c r="M449" s="1121"/>
      <c r="N449" s="1121"/>
      <c r="O449" s="1121"/>
      <c r="P449" s="1121"/>
      <c r="Q449" s="1121"/>
      <c r="R449" s="1121"/>
      <c r="S449" s="1121"/>
      <c r="T449" s="1121"/>
      <c r="U449" s="1121"/>
      <c r="V449" s="1121"/>
      <c r="W449" s="1121"/>
      <c r="X449" s="1121"/>
      <c r="Y449" s="1121"/>
      <c r="Z449" s="1121"/>
      <c r="AA449" s="1121"/>
      <c r="AB449" s="1121"/>
      <c r="AC449" s="1121"/>
      <c r="AD449" s="1121"/>
      <c r="AE449" s="1121"/>
      <c r="AF449" s="1121"/>
      <c r="AG449" s="1121"/>
      <c r="AH449" s="1121"/>
      <c r="AI449" s="1121"/>
      <c r="AJ449" s="1121"/>
    </row>
    <row r="450" spans="1:36" s="1122" customFormat="1">
      <c r="A450" s="1188"/>
      <c r="B450" s="1127"/>
      <c r="C450" s="1133"/>
      <c r="D450" s="1131"/>
      <c r="E450" s="1133"/>
      <c r="F450" s="1121"/>
      <c r="G450" s="1131"/>
      <c r="H450" s="1133"/>
      <c r="I450" s="1133"/>
      <c r="J450" s="1131"/>
      <c r="K450" s="1133"/>
      <c r="L450" s="1121"/>
      <c r="M450" s="1121"/>
      <c r="N450" s="1121"/>
      <c r="O450" s="1121"/>
      <c r="P450" s="1121"/>
      <c r="Q450" s="1121"/>
      <c r="R450" s="1121"/>
      <c r="S450" s="1121"/>
      <c r="T450" s="1121"/>
      <c r="U450" s="1121"/>
      <c r="V450" s="1121"/>
      <c r="W450" s="1121"/>
      <c r="X450" s="1121"/>
      <c r="Y450" s="1121"/>
      <c r="Z450" s="1121"/>
      <c r="AA450" s="1121"/>
      <c r="AB450" s="1121"/>
      <c r="AC450" s="1121"/>
      <c r="AD450" s="1121"/>
      <c r="AE450" s="1121"/>
      <c r="AF450" s="1121"/>
      <c r="AG450" s="1121"/>
      <c r="AH450" s="1121"/>
      <c r="AI450" s="1121"/>
      <c r="AJ450" s="1121"/>
    </row>
    <row r="451" spans="1:36" s="1122" customFormat="1">
      <c r="A451" s="1188"/>
      <c r="B451" s="1127"/>
      <c r="C451" s="1133"/>
      <c r="D451" s="1131"/>
      <c r="E451" s="1133"/>
      <c r="F451" s="1121"/>
      <c r="G451" s="1131"/>
      <c r="H451" s="1133"/>
      <c r="I451" s="1133"/>
      <c r="J451" s="1131"/>
      <c r="K451" s="1133"/>
      <c r="L451" s="1121"/>
      <c r="M451" s="1121"/>
      <c r="N451" s="1121"/>
      <c r="O451" s="1121"/>
      <c r="P451" s="1121"/>
      <c r="Q451" s="1121"/>
      <c r="R451" s="1121"/>
      <c r="S451" s="1121"/>
      <c r="T451" s="1121"/>
      <c r="U451" s="1121"/>
      <c r="V451" s="1121"/>
      <c r="W451" s="1121"/>
      <c r="X451" s="1121"/>
      <c r="Y451" s="1121"/>
      <c r="Z451" s="1121"/>
      <c r="AA451" s="1121"/>
      <c r="AB451" s="1121"/>
      <c r="AC451" s="1121"/>
      <c r="AD451" s="1121"/>
      <c r="AE451" s="1121"/>
      <c r="AF451" s="1121"/>
      <c r="AG451" s="1121"/>
      <c r="AH451" s="1121"/>
      <c r="AI451" s="1121"/>
      <c r="AJ451" s="1121"/>
    </row>
    <row r="452" spans="1:36" s="1122" customFormat="1" ht="15.75">
      <c r="A452" s="1189"/>
      <c r="B452" s="1127"/>
      <c r="C452" s="1190"/>
      <c r="D452" s="1127"/>
      <c r="E452" s="1126"/>
      <c r="F452" s="1121"/>
      <c r="G452" s="1133"/>
      <c r="H452" s="1121"/>
      <c r="I452" s="1121"/>
      <c r="J452" s="1121"/>
      <c r="K452" s="1121"/>
      <c r="L452" s="1121"/>
      <c r="M452" s="1121"/>
      <c r="N452" s="1121"/>
      <c r="O452" s="1121"/>
      <c r="P452" s="1121"/>
      <c r="Q452" s="1121"/>
      <c r="R452" s="1121"/>
      <c r="S452" s="1121"/>
      <c r="T452" s="1121"/>
      <c r="U452" s="1121"/>
      <c r="V452" s="1121"/>
      <c r="W452" s="1121"/>
      <c r="X452" s="1121"/>
      <c r="Y452" s="1121"/>
      <c r="Z452" s="1121"/>
      <c r="AA452" s="1121"/>
      <c r="AB452" s="1121"/>
      <c r="AC452" s="1121"/>
      <c r="AD452" s="1121"/>
      <c r="AE452" s="1121"/>
      <c r="AF452" s="1121"/>
      <c r="AG452" s="1121"/>
      <c r="AH452" s="1121"/>
      <c r="AI452" s="1121"/>
      <c r="AJ452" s="1121"/>
    </row>
    <row r="453" spans="1:36" s="1122" customFormat="1" ht="15.75">
      <c r="A453" s="1140" t="s">
        <v>340</v>
      </c>
      <c r="B453" s="1141"/>
      <c r="C453" s="1164" t="s">
        <v>745</v>
      </c>
      <c r="D453" s="1165" t="s">
        <v>746</v>
      </c>
      <c r="E453" s="1164" t="s">
        <v>341</v>
      </c>
      <c r="F453" s="1164" t="s">
        <v>342</v>
      </c>
      <c r="G453" s="1191" t="s">
        <v>343</v>
      </c>
      <c r="H453" s="1166"/>
      <c r="I453" s="1142"/>
      <c r="J453" s="1167"/>
      <c r="K453" s="1121"/>
      <c r="L453" s="1121"/>
      <c r="M453" s="1121"/>
      <c r="N453" s="1121"/>
      <c r="O453" s="1121"/>
      <c r="P453" s="1121"/>
      <c r="Q453" s="1121"/>
      <c r="R453" s="1121"/>
      <c r="S453" s="1121"/>
      <c r="T453" s="1121"/>
      <c r="U453" s="1121"/>
      <c r="V453" s="1121"/>
      <c r="W453" s="1121"/>
      <c r="X453" s="1121"/>
      <c r="Y453" s="1121"/>
      <c r="Z453" s="1121"/>
      <c r="AA453" s="1121"/>
      <c r="AB453" s="1121"/>
      <c r="AC453" s="1121"/>
      <c r="AD453" s="1121"/>
      <c r="AE453" s="1121"/>
      <c r="AF453" s="1121"/>
      <c r="AG453" s="1121"/>
      <c r="AH453" s="1121"/>
      <c r="AI453" s="1121"/>
    </row>
    <row r="454" spans="1:36" s="1122" customFormat="1" ht="15.75">
      <c r="A454" s="1168"/>
      <c r="B454" s="1127"/>
      <c r="C454" s="1142"/>
      <c r="D454" s="1142"/>
      <c r="E454" s="1167"/>
      <c r="F454" s="1167"/>
      <c r="G454" s="1169"/>
      <c r="H454" s="1166"/>
      <c r="I454" s="1142"/>
      <c r="J454" s="1167"/>
      <c r="K454" s="1121"/>
      <c r="L454" s="1121"/>
      <c r="M454" s="1121"/>
      <c r="N454" s="1121"/>
      <c r="O454" s="1121"/>
      <c r="P454" s="1121"/>
      <c r="Q454" s="1121"/>
      <c r="R454" s="1121"/>
      <c r="S454" s="1121"/>
      <c r="T454" s="1121"/>
      <c r="U454" s="1121"/>
      <c r="V454" s="1121"/>
      <c r="W454" s="1121"/>
      <c r="X454" s="1121"/>
      <c r="Y454" s="1121"/>
      <c r="Z454" s="1121"/>
      <c r="AA454" s="1121"/>
      <c r="AB454" s="1121"/>
      <c r="AC454" s="1121"/>
      <c r="AD454" s="1121"/>
      <c r="AE454" s="1121"/>
      <c r="AF454" s="1121"/>
      <c r="AG454" s="1121"/>
      <c r="AH454" s="1121"/>
      <c r="AI454" s="1121"/>
    </row>
    <row r="455" spans="1:36" s="1122" customFormat="1">
      <c r="A455" s="1143" t="s">
        <v>399</v>
      </c>
      <c r="B455" s="1127"/>
      <c r="C455" s="1131" t="s">
        <v>344</v>
      </c>
      <c r="D455" s="1131" t="s">
        <v>345</v>
      </c>
      <c r="E455" s="1131" t="s">
        <v>346</v>
      </c>
      <c r="F455" s="1131" t="s">
        <v>1102</v>
      </c>
      <c r="G455" s="1159" t="s">
        <v>1103</v>
      </c>
      <c r="H455" s="1131"/>
      <c r="I455" s="1131"/>
      <c r="J455" s="1121"/>
      <c r="L455" s="1121"/>
      <c r="M455" s="1121"/>
      <c r="N455" s="1121"/>
      <c r="O455" s="1121"/>
      <c r="P455" s="1121"/>
      <c r="Q455" s="1121"/>
      <c r="R455" s="1121"/>
      <c r="S455" s="1121"/>
      <c r="T455" s="1121"/>
      <c r="U455" s="1121"/>
      <c r="V455" s="1121"/>
      <c r="W455" s="1121"/>
      <c r="X455" s="1121"/>
      <c r="Y455" s="1121"/>
      <c r="Z455" s="1121"/>
      <c r="AA455" s="1121"/>
      <c r="AB455" s="1121"/>
      <c r="AC455" s="1121"/>
      <c r="AD455" s="1121"/>
      <c r="AE455" s="1121"/>
      <c r="AF455" s="1121"/>
      <c r="AG455" s="1121"/>
      <c r="AH455" s="1121"/>
      <c r="AI455" s="1121"/>
    </row>
    <row r="456" spans="1:36" s="1122" customFormat="1">
      <c r="A456" s="1143" t="s">
        <v>407</v>
      </c>
      <c r="B456" s="1170"/>
      <c r="C456" s="1133" t="s">
        <v>347</v>
      </c>
      <c r="D456" s="1163" t="s">
        <v>348</v>
      </c>
      <c r="E456" s="1133" t="s">
        <v>349</v>
      </c>
      <c r="F456" s="1133">
        <v>70555344</v>
      </c>
      <c r="G456" s="1144">
        <v>70555697</v>
      </c>
      <c r="H456" s="1133"/>
      <c r="I456" s="1163"/>
      <c r="J456" s="1133"/>
      <c r="K456" s="1121"/>
      <c r="L456" s="1121"/>
      <c r="M456" s="1121"/>
      <c r="N456" s="1121"/>
      <c r="O456" s="1121"/>
      <c r="P456" s="1121"/>
      <c r="Q456" s="1121"/>
      <c r="R456" s="1121"/>
      <c r="S456" s="1121"/>
      <c r="T456" s="1121"/>
      <c r="U456" s="1121"/>
      <c r="V456" s="1121"/>
      <c r="W456" s="1121"/>
      <c r="X456" s="1121"/>
      <c r="Y456" s="1121"/>
      <c r="Z456" s="1121"/>
      <c r="AA456" s="1121"/>
      <c r="AB456" s="1121"/>
      <c r="AC456" s="1121"/>
      <c r="AD456" s="1121"/>
      <c r="AE456" s="1121"/>
      <c r="AF456" s="1121"/>
      <c r="AG456" s="1121"/>
      <c r="AH456" s="1121"/>
      <c r="AI456" s="1121"/>
    </row>
    <row r="457" spans="1:36" s="1122" customFormat="1">
      <c r="A457" s="1143" t="s">
        <v>202</v>
      </c>
      <c r="B457" s="1170"/>
      <c r="C457" s="1145">
        <v>40868</v>
      </c>
      <c r="D457" s="1145">
        <v>40868</v>
      </c>
      <c r="E457" s="1145">
        <v>40868</v>
      </c>
      <c r="F457" s="1145">
        <v>40868</v>
      </c>
      <c r="G457" s="1146">
        <v>40868</v>
      </c>
      <c r="H457" s="1145"/>
      <c r="I457" s="1145"/>
      <c r="J457" s="1145"/>
      <c r="K457" s="1121"/>
      <c r="L457" s="1121"/>
      <c r="M457" s="1121"/>
      <c r="N457" s="1121"/>
      <c r="O457" s="1121"/>
      <c r="P457" s="1121"/>
      <c r="Q457" s="1121"/>
      <c r="R457" s="1121"/>
      <c r="S457" s="1121"/>
      <c r="T457" s="1121"/>
      <c r="U457" s="1121"/>
      <c r="V457" s="1121"/>
      <c r="W457" s="1121"/>
      <c r="X457" s="1121"/>
      <c r="Y457" s="1121"/>
      <c r="Z457" s="1121"/>
      <c r="AA457" s="1121"/>
      <c r="AB457" s="1121"/>
      <c r="AC457" s="1121"/>
      <c r="AD457" s="1121"/>
      <c r="AE457" s="1121"/>
      <c r="AF457" s="1121"/>
      <c r="AG457" s="1121"/>
      <c r="AH457" s="1121"/>
      <c r="AI457" s="1121"/>
    </row>
    <row r="458" spans="1:36" s="1122" customFormat="1">
      <c r="A458" s="1143" t="s">
        <v>658</v>
      </c>
      <c r="B458" s="1127"/>
      <c r="C458" s="1138">
        <v>2400000000</v>
      </c>
      <c r="D458" s="1136">
        <v>400000000</v>
      </c>
      <c r="E458" s="1137">
        <v>220000000</v>
      </c>
      <c r="F458" s="1137">
        <v>657000000</v>
      </c>
      <c r="G458" s="1147">
        <v>67000000</v>
      </c>
      <c r="H458" s="1138"/>
      <c r="I458" s="1136"/>
      <c r="J458" s="1137"/>
      <c r="K458" s="1121"/>
      <c r="L458" s="1121"/>
      <c r="M458" s="1121"/>
      <c r="N458" s="1121"/>
      <c r="O458" s="1121"/>
      <c r="P458" s="1121"/>
      <c r="Q458" s="1121"/>
      <c r="R458" s="1121"/>
      <c r="S458" s="1121"/>
      <c r="T458" s="1121"/>
      <c r="U458" s="1121"/>
      <c r="V458" s="1121"/>
      <c r="W458" s="1121"/>
      <c r="X458" s="1121"/>
      <c r="Y458" s="1121"/>
      <c r="Z458" s="1121"/>
      <c r="AA458" s="1121"/>
      <c r="AB458" s="1121"/>
      <c r="AC458" s="1121"/>
      <c r="AD458" s="1121"/>
      <c r="AE458" s="1121"/>
      <c r="AF458" s="1121"/>
      <c r="AG458" s="1121"/>
      <c r="AH458" s="1121"/>
      <c r="AI458" s="1121"/>
    </row>
    <row r="459" spans="1:36" s="1122" customFormat="1">
      <c r="A459" s="1143" t="s">
        <v>659</v>
      </c>
      <c r="B459" s="1127"/>
      <c r="C459" s="1138">
        <v>2173820877.4299998</v>
      </c>
      <c r="D459" s="1136">
        <v>362303479.56999999</v>
      </c>
      <c r="E459" s="1192">
        <v>220000000</v>
      </c>
      <c r="F459" s="1137">
        <v>657000000</v>
      </c>
      <c r="G459" s="1147">
        <v>67000000</v>
      </c>
      <c r="H459" s="1171"/>
      <c r="I459" s="1136"/>
      <c r="J459" s="1137"/>
      <c r="K459" s="1121"/>
      <c r="L459" s="1121"/>
      <c r="M459" s="1121"/>
      <c r="N459" s="1121"/>
      <c r="O459" s="1121"/>
      <c r="P459" s="1121"/>
      <c r="Q459" s="1121"/>
      <c r="R459" s="1121"/>
      <c r="S459" s="1121"/>
      <c r="T459" s="1121"/>
      <c r="U459" s="1121"/>
      <c r="V459" s="1121"/>
      <c r="W459" s="1121"/>
      <c r="X459" s="1121"/>
      <c r="Y459" s="1121"/>
      <c r="Z459" s="1121"/>
      <c r="AA459" s="1121"/>
      <c r="AB459" s="1121"/>
      <c r="AC459" s="1121"/>
      <c r="AD459" s="1121"/>
      <c r="AE459" s="1121"/>
      <c r="AF459" s="1121"/>
      <c r="AG459" s="1121"/>
      <c r="AH459" s="1121"/>
      <c r="AI459" s="1121"/>
    </row>
    <row r="460" spans="1:36" s="1122" customFormat="1">
      <c r="A460" s="1143" t="s">
        <v>917</v>
      </c>
      <c r="B460" s="1127"/>
      <c r="C460" s="1138">
        <v>0</v>
      </c>
      <c r="D460" s="1136">
        <v>0</v>
      </c>
      <c r="E460" s="1137">
        <v>0</v>
      </c>
      <c r="F460" s="1137">
        <v>0</v>
      </c>
      <c r="G460" s="1147">
        <v>0</v>
      </c>
      <c r="H460" s="1138"/>
      <c r="I460" s="1136"/>
      <c r="J460" s="1137"/>
      <c r="K460" s="1172"/>
      <c r="L460" s="1121"/>
      <c r="M460" s="1121"/>
      <c r="N460" s="1121"/>
      <c r="O460" s="1121"/>
      <c r="P460" s="1121"/>
      <c r="Q460" s="1121"/>
      <c r="R460" s="1121"/>
      <c r="S460" s="1121"/>
      <c r="T460" s="1121"/>
      <c r="U460" s="1121"/>
      <c r="V460" s="1121"/>
      <c r="W460" s="1121"/>
      <c r="X460" s="1121"/>
      <c r="Y460" s="1121"/>
      <c r="Z460" s="1121"/>
      <c r="AA460" s="1121"/>
      <c r="AB460" s="1121"/>
      <c r="AC460" s="1121"/>
      <c r="AD460" s="1121"/>
      <c r="AE460" s="1121"/>
      <c r="AF460" s="1121"/>
      <c r="AG460" s="1121"/>
      <c r="AH460" s="1121"/>
      <c r="AI460" s="1121"/>
    </row>
    <row r="461" spans="1:36" s="1122" customFormat="1">
      <c r="A461" s="1143" t="s">
        <v>660</v>
      </c>
      <c r="B461" s="1127"/>
      <c r="C461" s="1138">
        <v>2173820877.4299998</v>
      </c>
      <c r="D461" s="1136">
        <v>362303479.56999999</v>
      </c>
      <c r="E461" s="1137">
        <v>220000000</v>
      </c>
      <c r="F461" s="1137">
        <v>657000000</v>
      </c>
      <c r="G461" s="1147">
        <v>67000000</v>
      </c>
      <c r="H461" s="1138"/>
      <c r="I461" s="1136"/>
      <c r="J461" s="1137"/>
      <c r="K461" s="1121"/>
      <c r="L461" s="1121"/>
      <c r="M461" s="1121"/>
      <c r="N461" s="1121"/>
      <c r="O461" s="1121"/>
      <c r="P461" s="1121"/>
      <c r="Q461" s="1121"/>
      <c r="R461" s="1121"/>
      <c r="S461" s="1121"/>
      <c r="T461" s="1121"/>
      <c r="U461" s="1121"/>
      <c r="V461" s="1121"/>
      <c r="W461" s="1121"/>
      <c r="X461" s="1121"/>
      <c r="Y461" s="1121"/>
      <c r="Z461" s="1121"/>
      <c r="AA461" s="1121"/>
      <c r="AB461" s="1121"/>
      <c r="AC461" s="1121"/>
      <c r="AD461" s="1121"/>
      <c r="AE461" s="1121"/>
      <c r="AF461" s="1121"/>
      <c r="AG461" s="1121"/>
      <c r="AH461" s="1121"/>
      <c r="AI461" s="1121"/>
    </row>
    <row r="462" spans="1:36" s="1122" customFormat="1">
      <c r="A462" s="1143" t="s">
        <v>204</v>
      </c>
      <c r="B462" s="1127"/>
      <c r="C462" s="1148">
        <v>1.591</v>
      </c>
      <c r="D462" s="1148">
        <v>1.171</v>
      </c>
      <c r="E462" s="1148">
        <v>1</v>
      </c>
      <c r="F462" s="1148">
        <v>1</v>
      </c>
      <c r="G462" s="1149">
        <v>1</v>
      </c>
      <c r="H462" s="1148"/>
      <c r="I462" s="1148"/>
      <c r="J462" s="1148"/>
      <c r="K462" s="1148"/>
      <c r="L462" s="1121"/>
      <c r="M462" s="1121"/>
      <c r="N462" s="1121"/>
      <c r="O462" s="1121"/>
      <c r="P462" s="1121"/>
      <c r="Q462" s="1121"/>
      <c r="R462" s="1121"/>
      <c r="S462" s="1121"/>
      <c r="T462" s="1121"/>
      <c r="U462" s="1121"/>
      <c r="V462" s="1121"/>
      <c r="W462" s="1121"/>
      <c r="X462" s="1121"/>
      <c r="Y462" s="1121"/>
      <c r="Z462" s="1121"/>
      <c r="AA462" s="1121"/>
      <c r="AB462" s="1121"/>
      <c r="AC462" s="1121"/>
      <c r="AD462" s="1121"/>
      <c r="AE462" s="1121"/>
      <c r="AF462" s="1121"/>
      <c r="AG462" s="1121"/>
      <c r="AH462" s="1121"/>
      <c r="AI462" s="1121"/>
    </row>
    <row r="463" spans="1:36" s="1122" customFormat="1">
      <c r="A463" s="1143" t="s">
        <v>393</v>
      </c>
      <c r="B463" s="1127"/>
      <c r="C463" s="1148">
        <v>0.90575869892916661</v>
      </c>
      <c r="D463" s="1148">
        <v>0.90575869892499994</v>
      </c>
      <c r="E463" s="1148">
        <v>1</v>
      </c>
      <c r="F463" s="1148">
        <v>1</v>
      </c>
      <c r="G463" s="1149">
        <v>1</v>
      </c>
      <c r="H463" s="1148"/>
      <c r="I463" s="1148"/>
      <c r="J463" s="1148"/>
      <c r="K463" s="1121"/>
      <c r="L463" s="1121"/>
      <c r="M463" s="1121"/>
      <c r="N463" s="1121"/>
      <c r="O463" s="1121"/>
      <c r="P463" s="1121"/>
      <c r="Q463" s="1121"/>
      <c r="R463" s="1121"/>
      <c r="S463" s="1121"/>
      <c r="T463" s="1121"/>
      <c r="U463" s="1121"/>
      <c r="V463" s="1121"/>
      <c r="W463" s="1121"/>
      <c r="X463" s="1121"/>
      <c r="Y463" s="1121"/>
      <c r="Z463" s="1121"/>
      <c r="AA463" s="1121"/>
      <c r="AB463" s="1121"/>
      <c r="AC463" s="1121"/>
      <c r="AD463" s="1121"/>
      <c r="AE463" s="1121"/>
      <c r="AF463" s="1121"/>
      <c r="AG463" s="1121"/>
      <c r="AH463" s="1121"/>
      <c r="AI463" s="1121"/>
    </row>
    <row r="464" spans="1:36" s="1122" customFormat="1">
      <c r="A464" s="1143" t="s">
        <v>394</v>
      </c>
      <c r="B464" s="1127"/>
      <c r="C464" s="1148">
        <v>0.90575869892916661</v>
      </c>
      <c r="D464" s="1148">
        <v>0.90575869892499994</v>
      </c>
      <c r="E464" s="1148">
        <v>1</v>
      </c>
      <c r="F464" s="1148">
        <v>1</v>
      </c>
      <c r="G464" s="1149">
        <v>1</v>
      </c>
      <c r="H464" s="1148"/>
      <c r="I464" s="1148"/>
      <c r="J464" s="1148"/>
      <c r="K464" s="1121"/>
      <c r="L464" s="1121"/>
      <c r="M464" s="1121"/>
      <c r="N464" s="1121"/>
      <c r="O464" s="1121"/>
      <c r="P464" s="1121"/>
      <c r="Q464" s="1121"/>
      <c r="R464" s="1121"/>
      <c r="S464" s="1121"/>
      <c r="T464" s="1121"/>
      <c r="U464" s="1121"/>
      <c r="V464" s="1121"/>
      <c r="W464" s="1121"/>
      <c r="X464" s="1121"/>
      <c r="Y464" s="1121"/>
      <c r="Z464" s="1121"/>
      <c r="AA464" s="1121"/>
      <c r="AB464" s="1121"/>
      <c r="AC464" s="1121"/>
      <c r="AD464" s="1121"/>
      <c r="AE464" s="1121"/>
      <c r="AF464" s="1121"/>
      <c r="AG464" s="1121"/>
      <c r="AH464" s="1121"/>
      <c r="AI464" s="1121"/>
    </row>
    <row r="465" spans="1:39" s="1122" customFormat="1">
      <c r="A465" s="1143" t="s">
        <v>661</v>
      </c>
      <c r="B465" s="1127"/>
      <c r="C465" s="1138">
        <v>0</v>
      </c>
      <c r="D465" s="1136">
        <v>0</v>
      </c>
      <c r="E465" s="1137">
        <v>0</v>
      </c>
      <c r="F465" s="1137">
        <v>0</v>
      </c>
      <c r="G465" s="1147">
        <v>0</v>
      </c>
      <c r="H465" s="1138"/>
      <c r="I465" s="1136"/>
      <c r="J465" s="1137"/>
      <c r="K465" s="1121"/>
      <c r="L465" s="1121"/>
      <c r="M465" s="1121"/>
      <c r="N465" s="1121"/>
      <c r="O465" s="1121"/>
      <c r="P465" s="1121"/>
      <c r="Q465" s="1121"/>
      <c r="R465" s="1121"/>
      <c r="S465" s="1121"/>
      <c r="T465" s="1121"/>
      <c r="U465" s="1121"/>
      <c r="V465" s="1121"/>
      <c r="W465" s="1121"/>
      <c r="X465" s="1121"/>
      <c r="Y465" s="1121"/>
      <c r="Z465" s="1121"/>
      <c r="AA465" s="1121"/>
      <c r="AB465" s="1121"/>
      <c r="AC465" s="1121"/>
      <c r="AD465" s="1121"/>
      <c r="AE465" s="1121"/>
      <c r="AF465" s="1121"/>
      <c r="AG465" s="1121"/>
      <c r="AH465" s="1121"/>
      <c r="AI465" s="1121"/>
    </row>
    <row r="466" spans="1:39" s="1122" customFormat="1">
      <c r="A466" s="1143" t="s">
        <v>662</v>
      </c>
      <c r="B466" s="1127"/>
      <c r="C466" s="1138">
        <v>0</v>
      </c>
      <c r="D466" s="1136">
        <v>0</v>
      </c>
      <c r="E466" s="1137">
        <v>0</v>
      </c>
      <c r="F466" s="1137">
        <v>0</v>
      </c>
      <c r="G466" s="1147">
        <v>0</v>
      </c>
      <c r="H466" s="1138"/>
      <c r="I466" s="1136"/>
      <c r="J466" s="1137"/>
      <c r="K466" s="1121"/>
      <c r="L466" s="1121"/>
      <c r="M466" s="1121"/>
      <c r="N466" s="1121"/>
      <c r="O466" s="1121"/>
      <c r="P466" s="1121"/>
      <c r="Q466" s="1121"/>
      <c r="R466" s="1121"/>
      <c r="S466" s="1121"/>
      <c r="T466" s="1121"/>
      <c r="U466" s="1121"/>
      <c r="V466" s="1121"/>
      <c r="W466" s="1121"/>
      <c r="X466" s="1121"/>
      <c r="Y466" s="1121"/>
      <c r="Z466" s="1121"/>
      <c r="AA466" s="1121"/>
      <c r="AB466" s="1121"/>
      <c r="AC466" s="1121"/>
      <c r="AD466" s="1121"/>
      <c r="AE466" s="1121"/>
      <c r="AF466" s="1121"/>
      <c r="AG466" s="1121"/>
      <c r="AH466" s="1121"/>
      <c r="AI466" s="1121"/>
    </row>
    <row r="467" spans="1:39" s="1122" customFormat="1">
      <c r="A467" s="1143" t="s">
        <v>663</v>
      </c>
      <c r="B467" s="1127"/>
      <c r="C467" s="1138">
        <v>0</v>
      </c>
      <c r="D467" s="1136">
        <v>0</v>
      </c>
      <c r="E467" s="1137">
        <v>0</v>
      </c>
      <c r="F467" s="1137">
        <v>0</v>
      </c>
      <c r="G467" s="1147">
        <v>0</v>
      </c>
      <c r="H467" s="1138"/>
      <c r="I467" s="1136"/>
      <c r="J467" s="1137"/>
      <c r="K467" s="1121"/>
      <c r="L467" s="1121"/>
      <c r="M467" s="1121"/>
      <c r="N467" s="1121"/>
      <c r="O467" s="1121"/>
      <c r="P467" s="1121"/>
      <c r="Q467" s="1121"/>
      <c r="R467" s="1121"/>
      <c r="S467" s="1121"/>
      <c r="T467" s="1121"/>
      <c r="U467" s="1121"/>
      <c r="V467" s="1121"/>
      <c r="W467" s="1121"/>
      <c r="X467" s="1121"/>
      <c r="Y467" s="1121"/>
      <c r="Z467" s="1121"/>
      <c r="AA467" s="1121"/>
      <c r="AB467" s="1121"/>
      <c r="AC467" s="1121"/>
      <c r="AD467" s="1121"/>
      <c r="AE467" s="1121"/>
      <c r="AF467" s="1121"/>
      <c r="AG467" s="1121"/>
      <c r="AH467" s="1121"/>
      <c r="AI467" s="1121"/>
    </row>
    <row r="468" spans="1:39" s="1122" customFormat="1">
      <c r="A468" s="1173" t="s">
        <v>120</v>
      </c>
      <c r="B468" s="1174"/>
      <c r="C468" s="1138">
        <v>2173820877.4299998</v>
      </c>
      <c r="D468" s="1136">
        <v>362303479.56999999</v>
      </c>
      <c r="E468" s="1137">
        <v>220000000</v>
      </c>
      <c r="F468" s="1137">
        <v>657000000</v>
      </c>
      <c r="G468" s="1147">
        <v>67000000</v>
      </c>
      <c r="H468" s="1138"/>
      <c r="I468" s="1136"/>
      <c r="J468" s="1137"/>
      <c r="K468" s="1121"/>
      <c r="L468" s="1121"/>
      <c r="M468" s="1121"/>
      <c r="N468" s="1121"/>
      <c r="O468" s="1121"/>
      <c r="P468" s="1121"/>
      <c r="Q468" s="1121"/>
      <c r="R468" s="1121"/>
      <c r="S468" s="1121"/>
      <c r="T468" s="1121"/>
      <c r="U468" s="1121"/>
      <c r="V468" s="1121"/>
      <c r="W468" s="1121"/>
      <c r="X468" s="1121"/>
      <c r="Y468" s="1121"/>
      <c r="Z468" s="1121"/>
      <c r="AA468" s="1121"/>
      <c r="AB468" s="1121"/>
      <c r="AC468" s="1121"/>
      <c r="AD468" s="1121"/>
      <c r="AE468" s="1121"/>
      <c r="AF468" s="1121"/>
      <c r="AG468" s="1121"/>
      <c r="AH468" s="1121"/>
      <c r="AI468" s="1121"/>
    </row>
    <row r="469" spans="1:39" s="1122" customFormat="1">
      <c r="A469" s="1143" t="s">
        <v>740</v>
      </c>
      <c r="B469" s="1127"/>
      <c r="C469" s="1138" t="s">
        <v>664</v>
      </c>
      <c r="D469" s="1138" t="s">
        <v>664</v>
      </c>
      <c r="E469" s="1138" t="s">
        <v>664</v>
      </c>
      <c r="F469" s="1133" t="s">
        <v>421</v>
      </c>
      <c r="G469" s="1144" t="s">
        <v>421</v>
      </c>
      <c r="H469" s="1138"/>
      <c r="I469" s="1138"/>
      <c r="J469" s="1133"/>
      <c r="K469" s="1121"/>
      <c r="L469" s="1121"/>
      <c r="M469" s="1121"/>
      <c r="N469" s="1121"/>
      <c r="O469" s="1121"/>
      <c r="P469" s="1121"/>
      <c r="Q469" s="1121"/>
      <c r="R469" s="1121"/>
      <c r="S469" s="1121"/>
      <c r="T469" s="1121"/>
      <c r="U469" s="1121"/>
      <c r="V469" s="1121"/>
      <c r="W469" s="1121"/>
      <c r="X469" s="1121"/>
      <c r="Y469" s="1121"/>
      <c r="Z469" s="1121"/>
      <c r="AA469" s="1121"/>
      <c r="AB469" s="1121"/>
      <c r="AC469" s="1121"/>
      <c r="AD469" s="1121"/>
      <c r="AE469" s="1121"/>
      <c r="AF469" s="1121"/>
      <c r="AG469" s="1121"/>
      <c r="AH469" s="1121"/>
      <c r="AI469" s="1121"/>
    </row>
    <row r="470" spans="1:39" s="1122" customFormat="1">
      <c r="A470" s="1143" t="s">
        <v>665</v>
      </c>
      <c r="B470" s="1127"/>
      <c r="C470" s="1150" t="s">
        <v>666</v>
      </c>
      <c r="D470" s="1150" t="s">
        <v>667</v>
      </c>
      <c r="E470" s="1150" t="s">
        <v>668</v>
      </c>
      <c r="F470" s="1150" t="s">
        <v>668</v>
      </c>
      <c r="G470" s="1151" t="s">
        <v>668</v>
      </c>
      <c r="H470" s="1150"/>
      <c r="I470" s="1150"/>
      <c r="J470" s="1150"/>
      <c r="K470" s="1121"/>
      <c r="L470" s="1121"/>
      <c r="M470" s="1121"/>
      <c r="N470" s="1121"/>
      <c r="O470" s="1121"/>
      <c r="P470" s="1121"/>
      <c r="Q470" s="1121"/>
      <c r="R470" s="1121"/>
      <c r="S470" s="1121"/>
      <c r="T470" s="1121"/>
      <c r="U470" s="1121"/>
      <c r="V470" s="1121"/>
      <c r="W470" s="1121"/>
      <c r="X470" s="1121"/>
      <c r="Y470" s="1121"/>
      <c r="Z470" s="1121"/>
      <c r="AA470" s="1121"/>
      <c r="AB470" s="1121"/>
      <c r="AC470" s="1121"/>
      <c r="AD470" s="1121"/>
      <c r="AE470" s="1121"/>
      <c r="AF470" s="1121"/>
      <c r="AG470" s="1121"/>
      <c r="AH470" s="1121"/>
      <c r="AI470" s="1121"/>
    </row>
    <row r="471" spans="1:39" s="1122" customFormat="1">
      <c r="A471" s="1143" t="s">
        <v>669</v>
      </c>
      <c r="B471" s="1127"/>
      <c r="C471" s="1152">
        <v>2.7409999999999999E-3</v>
      </c>
      <c r="D471" s="1152">
        <v>2.0200000000000001E-3</v>
      </c>
      <c r="E471" s="1152">
        <v>5.0562999999999997E-3</v>
      </c>
      <c r="F471" s="1152">
        <v>5.0562999999999997E-3</v>
      </c>
      <c r="G471" s="1153">
        <v>5.0562999999999997E-3</v>
      </c>
      <c r="H471" s="1287"/>
      <c r="I471" s="1152"/>
      <c r="J471" s="1152"/>
      <c r="K471" s="1121"/>
      <c r="L471" s="1121"/>
      <c r="M471" s="1121"/>
      <c r="N471" s="1121"/>
      <c r="O471" s="1121"/>
      <c r="P471" s="1121"/>
      <c r="Q471" s="1121"/>
      <c r="R471" s="1121"/>
      <c r="S471" s="1121"/>
      <c r="T471" s="1121"/>
      <c r="U471" s="1121"/>
      <c r="V471" s="1121"/>
      <c r="W471" s="1121"/>
      <c r="X471" s="1121"/>
      <c r="Y471" s="1121"/>
      <c r="Z471" s="1121"/>
      <c r="AA471" s="1121"/>
      <c r="AB471" s="1121"/>
      <c r="AC471" s="1121"/>
      <c r="AD471" s="1121"/>
      <c r="AE471" s="1121"/>
      <c r="AF471" s="1121"/>
      <c r="AG471" s="1121"/>
      <c r="AH471" s="1121"/>
      <c r="AI471" s="1121"/>
    </row>
    <row r="472" spans="1:39" s="1122" customFormat="1">
      <c r="A472" s="1143" t="s">
        <v>670</v>
      </c>
      <c r="B472" s="1127"/>
      <c r="C472" s="1152">
        <v>1.55E-2</v>
      </c>
      <c r="D472" s="1152">
        <v>1.4999999999999999E-2</v>
      </c>
      <c r="E472" s="1152">
        <v>1.6500000000000001E-2</v>
      </c>
      <c r="F472" s="1152">
        <v>8.9999999999999993E-3</v>
      </c>
      <c r="G472" s="1153">
        <v>8.9999999999999993E-3</v>
      </c>
      <c r="H472" s="1152"/>
      <c r="I472" s="1152"/>
      <c r="J472" s="1152"/>
      <c r="K472" s="1121"/>
      <c r="L472" s="1121"/>
      <c r="M472" s="1121"/>
      <c r="N472" s="1121"/>
      <c r="O472" s="1121"/>
      <c r="P472" s="1121"/>
      <c r="Q472" s="1121"/>
      <c r="R472" s="1121"/>
      <c r="S472" s="1121"/>
      <c r="T472" s="1121"/>
      <c r="U472" s="1121"/>
      <c r="V472" s="1121"/>
      <c r="W472" s="1121"/>
      <c r="X472" s="1121"/>
      <c r="Y472" s="1121"/>
      <c r="Z472" s="1121"/>
      <c r="AA472" s="1121"/>
      <c r="AB472" s="1121"/>
      <c r="AC472" s="1121"/>
      <c r="AD472" s="1121"/>
      <c r="AE472" s="1121"/>
      <c r="AF472" s="1121"/>
      <c r="AG472" s="1121"/>
      <c r="AH472" s="1121"/>
      <c r="AI472" s="1121"/>
    </row>
    <row r="473" spans="1:39" s="1122" customFormat="1">
      <c r="A473" s="1143" t="s">
        <v>918</v>
      </c>
      <c r="B473" s="1127"/>
      <c r="C473" s="1138">
        <v>0</v>
      </c>
      <c r="D473" s="1136">
        <v>0</v>
      </c>
      <c r="E473" s="1137">
        <v>0</v>
      </c>
      <c r="F473" s="1137">
        <v>0</v>
      </c>
      <c r="G473" s="1147">
        <v>0</v>
      </c>
      <c r="H473" s="1138"/>
      <c r="I473" s="1136"/>
      <c r="J473" s="1137"/>
      <c r="K473" s="1121"/>
      <c r="L473" s="1121"/>
      <c r="M473" s="1121"/>
      <c r="N473" s="1121"/>
      <c r="O473" s="1121"/>
      <c r="P473" s="1121"/>
      <c r="Q473" s="1121"/>
      <c r="R473" s="1121"/>
      <c r="S473" s="1121"/>
      <c r="T473" s="1121"/>
      <c r="U473" s="1121"/>
      <c r="V473" s="1121"/>
      <c r="W473" s="1121"/>
      <c r="X473" s="1121"/>
      <c r="Y473" s="1121"/>
      <c r="Z473" s="1121"/>
      <c r="AA473" s="1121"/>
      <c r="AB473" s="1121"/>
      <c r="AC473" s="1121"/>
      <c r="AD473" s="1121"/>
      <c r="AE473" s="1121"/>
      <c r="AF473" s="1121"/>
      <c r="AG473" s="1121"/>
      <c r="AH473" s="1121"/>
      <c r="AI473" s="1121"/>
    </row>
    <row r="474" spans="1:39" s="1122" customFormat="1">
      <c r="A474" s="1154" t="s">
        <v>916</v>
      </c>
      <c r="B474" s="1127"/>
      <c r="C474" s="1138">
        <v>0</v>
      </c>
      <c r="D474" s="1136">
        <v>0</v>
      </c>
      <c r="E474" s="1137">
        <v>0</v>
      </c>
      <c r="F474" s="1137">
        <v>0</v>
      </c>
      <c r="G474" s="1147">
        <v>0</v>
      </c>
      <c r="H474" s="1138"/>
      <c r="I474" s="1136"/>
      <c r="J474" s="1137"/>
      <c r="K474" s="1121"/>
      <c r="L474" s="1121"/>
      <c r="M474" s="1121"/>
      <c r="N474" s="1121"/>
      <c r="O474" s="1121"/>
      <c r="P474" s="1121"/>
      <c r="Q474" s="1121"/>
      <c r="R474" s="1121"/>
      <c r="S474" s="1121"/>
      <c r="T474" s="1121"/>
      <c r="U474" s="1121"/>
      <c r="V474" s="1121"/>
      <c r="W474" s="1121"/>
      <c r="X474" s="1121"/>
      <c r="Y474" s="1121"/>
      <c r="Z474" s="1121"/>
      <c r="AA474" s="1121"/>
      <c r="AB474" s="1121"/>
      <c r="AC474" s="1121"/>
      <c r="AD474" s="1121"/>
      <c r="AE474" s="1121"/>
      <c r="AF474" s="1121"/>
      <c r="AG474" s="1121"/>
      <c r="AH474" s="1121"/>
      <c r="AI474" s="1121"/>
    </row>
    <row r="475" spans="1:39" s="1122" customFormat="1">
      <c r="A475" s="1143" t="s">
        <v>671</v>
      </c>
      <c r="B475" s="1127"/>
      <c r="C475" s="1138">
        <v>0</v>
      </c>
      <c r="D475" s="1136">
        <v>0</v>
      </c>
      <c r="E475" s="1137">
        <v>0</v>
      </c>
      <c r="F475" s="1137">
        <v>0</v>
      </c>
      <c r="G475" s="1147">
        <v>0</v>
      </c>
      <c r="H475" s="1138"/>
      <c r="I475" s="1136"/>
      <c r="J475" s="1137"/>
      <c r="K475" s="1121"/>
      <c r="L475" s="1121"/>
      <c r="M475" s="1121"/>
      <c r="N475" s="1121"/>
      <c r="O475" s="1121"/>
      <c r="P475" s="1121"/>
      <c r="Q475" s="1121"/>
      <c r="R475" s="1121"/>
      <c r="S475" s="1121"/>
      <c r="T475" s="1121"/>
      <c r="U475" s="1121"/>
      <c r="V475" s="1121"/>
      <c r="W475" s="1121"/>
      <c r="X475" s="1121"/>
      <c r="Y475" s="1121"/>
      <c r="Z475" s="1121"/>
      <c r="AA475" s="1121"/>
      <c r="AB475" s="1121"/>
      <c r="AC475" s="1121"/>
      <c r="AD475" s="1121"/>
      <c r="AE475" s="1121"/>
      <c r="AF475" s="1121"/>
      <c r="AG475" s="1121"/>
      <c r="AH475" s="1121"/>
      <c r="AI475" s="1121"/>
    </row>
    <row r="476" spans="1:39" s="1122" customFormat="1">
      <c r="A476" s="1143" t="s">
        <v>691</v>
      </c>
      <c r="B476" s="1127"/>
      <c r="C476" s="1138">
        <v>0</v>
      </c>
      <c r="D476" s="1136">
        <v>0</v>
      </c>
      <c r="E476" s="1137">
        <v>0</v>
      </c>
      <c r="F476" s="1137">
        <v>0</v>
      </c>
      <c r="G476" s="1147">
        <v>0</v>
      </c>
      <c r="H476" s="1138"/>
      <c r="I476" s="1136"/>
      <c r="J476" s="1137"/>
      <c r="K476" s="1121"/>
      <c r="L476" s="1121"/>
      <c r="M476" s="1121"/>
      <c r="N476" s="1121"/>
      <c r="O476" s="1121"/>
      <c r="P476" s="1121"/>
      <c r="Q476" s="1121"/>
      <c r="R476" s="1121"/>
      <c r="S476" s="1121"/>
      <c r="T476" s="1121"/>
      <c r="U476" s="1121"/>
      <c r="V476" s="1121"/>
      <c r="W476" s="1121"/>
      <c r="X476" s="1121"/>
      <c r="Y476" s="1121"/>
      <c r="Z476" s="1121"/>
      <c r="AA476" s="1121"/>
      <c r="AB476" s="1121"/>
      <c r="AC476" s="1121"/>
      <c r="AD476" s="1121"/>
      <c r="AE476" s="1121"/>
      <c r="AF476" s="1121"/>
      <c r="AG476" s="1121"/>
      <c r="AH476" s="1121"/>
      <c r="AI476" s="1121"/>
    </row>
    <row r="477" spans="1:39" s="1122" customFormat="1">
      <c r="A477" s="1143" t="s">
        <v>672</v>
      </c>
      <c r="B477" s="1127"/>
      <c r="C477" s="1131">
        <v>2.85</v>
      </c>
      <c r="D477" s="1131">
        <v>2.85</v>
      </c>
      <c r="E477" s="1131">
        <v>4.72</v>
      </c>
      <c r="F477" s="1131">
        <v>3.25</v>
      </c>
      <c r="G477" s="1159">
        <v>5.25</v>
      </c>
      <c r="H477" s="1131"/>
      <c r="I477" s="1131"/>
      <c r="J477" s="1131"/>
      <c r="K477" s="1121"/>
      <c r="L477" s="1121"/>
      <c r="M477" s="1121"/>
      <c r="N477" s="1121"/>
      <c r="O477" s="1121"/>
      <c r="P477" s="1121"/>
      <c r="Q477" s="1121"/>
      <c r="R477" s="1121"/>
      <c r="S477" s="1121"/>
      <c r="T477" s="1121"/>
      <c r="U477" s="1121"/>
      <c r="V477" s="1121"/>
      <c r="W477" s="1121"/>
      <c r="X477" s="1121"/>
      <c r="Y477" s="1121"/>
      <c r="Z477" s="1121"/>
      <c r="AA477" s="1121"/>
      <c r="AB477" s="1121"/>
      <c r="AC477" s="1121"/>
      <c r="AD477" s="1121"/>
      <c r="AE477" s="1121"/>
      <c r="AF477" s="1121"/>
      <c r="AG477" s="1121"/>
      <c r="AH477" s="1121"/>
      <c r="AI477" s="1121"/>
    </row>
    <row r="478" spans="1:39" s="1122" customFormat="1">
      <c r="A478" s="1143" t="s">
        <v>673</v>
      </c>
      <c r="B478" s="1127"/>
      <c r="C478" s="1145">
        <v>42055</v>
      </c>
      <c r="D478" s="1145">
        <v>42055</v>
      </c>
      <c r="E478" s="1145">
        <v>42786</v>
      </c>
      <c r="F478" s="1145">
        <v>42055</v>
      </c>
      <c r="G478" s="1146">
        <v>42786</v>
      </c>
      <c r="H478" s="1145"/>
      <c r="I478" s="1145"/>
      <c r="J478" s="1139"/>
      <c r="K478" s="1121"/>
      <c r="L478" s="1175"/>
      <c r="M478" s="1175"/>
      <c r="N478" s="1175"/>
      <c r="O478" s="1176"/>
      <c r="P478" s="1175"/>
      <c r="Q478" s="1175"/>
      <c r="R478" s="1175"/>
      <c r="S478" s="1175"/>
      <c r="T478" s="1175"/>
      <c r="U478" s="1175"/>
      <c r="V478" s="1175"/>
      <c r="W478" s="1175"/>
      <c r="X478" s="1175"/>
      <c r="Y478" s="1176"/>
      <c r="Z478" s="1175"/>
      <c r="AA478" s="1175"/>
      <c r="AB478" s="1175"/>
      <c r="AC478" s="1175"/>
      <c r="AD478" s="1175"/>
      <c r="AE478" s="1175"/>
      <c r="AF478" s="1175"/>
      <c r="AG478" s="1175"/>
      <c r="AH478" s="1175"/>
      <c r="AI478" s="1175"/>
    </row>
    <row r="479" spans="1:39" s="1122" customFormat="1">
      <c r="A479" s="1143" t="s">
        <v>674</v>
      </c>
      <c r="B479" s="1127"/>
      <c r="C479" s="1145">
        <v>42055</v>
      </c>
      <c r="D479" s="1145">
        <v>42055</v>
      </c>
      <c r="E479" s="1145">
        <v>42786</v>
      </c>
      <c r="F479" s="1145">
        <v>42055</v>
      </c>
      <c r="G479" s="1146">
        <v>42786</v>
      </c>
      <c r="H479" s="1139"/>
      <c r="I479" s="1139"/>
      <c r="J479" s="1139"/>
      <c r="K479" s="1121"/>
      <c r="L479" s="1177"/>
      <c r="M479" s="1177"/>
      <c r="N479" s="1177"/>
      <c r="O479" s="1177"/>
      <c r="P479" s="1177"/>
      <c r="Q479" s="1177"/>
      <c r="R479" s="1177"/>
      <c r="S479" s="1177"/>
      <c r="T479" s="1177"/>
      <c r="U479" s="1177"/>
      <c r="V479" s="1177"/>
      <c r="W479" s="1177"/>
      <c r="X479" s="1177"/>
      <c r="Y479" s="1177"/>
      <c r="Z479" s="1177"/>
      <c r="AA479" s="1177"/>
      <c r="AB479" s="1177"/>
      <c r="AC479" s="1177"/>
      <c r="AD479" s="1177"/>
      <c r="AE479" s="1177"/>
      <c r="AF479" s="1177"/>
      <c r="AG479" s="1177"/>
      <c r="AH479" s="1177"/>
      <c r="AI479" s="1177"/>
      <c r="AJ479" s="1178"/>
      <c r="AK479" s="1178"/>
      <c r="AL479" s="1178"/>
      <c r="AM479" s="1178"/>
    </row>
    <row r="480" spans="1:39" s="1122" customFormat="1">
      <c r="A480" s="1143" t="s">
        <v>675</v>
      </c>
      <c r="B480" s="1127" t="s">
        <v>622</v>
      </c>
      <c r="C480" s="1139">
        <v>57304</v>
      </c>
      <c r="D480" s="1139">
        <v>57304</v>
      </c>
      <c r="E480" s="1139">
        <v>57304</v>
      </c>
      <c r="F480" s="1139">
        <v>57304</v>
      </c>
      <c r="G480" s="1155">
        <v>57304</v>
      </c>
      <c r="H480" s="1139"/>
      <c r="I480" s="1139"/>
      <c r="J480" s="1139"/>
      <c r="K480" s="1121"/>
      <c r="L480" s="1179"/>
      <c r="M480" s="1179"/>
      <c r="N480" s="1179"/>
      <c r="O480" s="1179"/>
      <c r="P480" s="1179"/>
      <c r="Q480" s="1179"/>
      <c r="R480" s="1179"/>
      <c r="S480" s="1179"/>
      <c r="T480" s="1179"/>
      <c r="U480" s="1179"/>
      <c r="V480" s="1179"/>
      <c r="W480" s="1179"/>
      <c r="X480" s="1179"/>
      <c r="Y480" s="1179"/>
      <c r="Z480" s="1179"/>
      <c r="AA480" s="1179"/>
      <c r="AB480" s="1179"/>
      <c r="AC480" s="1179"/>
      <c r="AD480" s="1179"/>
      <c r="AE480" s="1179"/>
      <c r="AF480" s="1179"/>
      <c r="AG480" s="1179"/>
      <c r="AH480" s="1179"/>
      <c r="AI480" s="1179"/>
      <c r="AJ480" s="1178"/>
      <c r="AK480" s="1178"/>
      <c r="AL480" s="1178"/>
      <c r="AM480" s="1178"/>
    </row>
    <row r="481" spans="1:35" s="1122" customFormat="1">
      <c r="A481" s="1180" t="s">
        <v>203</v>
      </c>
      <c r="B481" s="1127"/>
      <c r="C481" s="1139" t="s">
        <v>544</v>
      </c>
      <c r="D481" s="1139" t="s">
        <v>544</v>
      </c>
      <c r="E481" s="1139" t="s">
        <v>544</v>
      </c>
      <c r="F481" s="1139" t="s">
        <v>544</v>
      </c>
      <c r="G481" s="1155" t="s">
        <v>544</v>
      </c>
      <c r="H481" s="1139"/>
      <c r="I481" s="1139"/>
      <c r="J481" s="1139"/>
      <c r="K481" s="1139"/>
      <c r="L481" s="1121"/>
      <c r="M481" s="1121"/>
      <c r="N481" s="1121"/>
      <c r="O481" s="1121"/>
      <c r="P481" s="1121"/>
      <c r="Q481" s="1121"/>
      <c r="R481" s="1121"/>
      <c r="S481" s="1121"/>
      <c r="T481" s="1121"/>
      <c r="U481" s="1121"/>
      <c r="V481" s="1121"/>
      <c r="W481" s="1121"/>
      <c r="X481" s="1121"/>
      <c r="Y481" s="1121"/>
      <c r="Z481" s="1121"/>
      <c r="AA481" s="1121"/>
      <c r="AB481" s="1121"/>
      <c r="AC481" s="1121"/>
      <c r="AD481" s="1121"/>
      <c r="AE481" s="1121"/>
      <c r="AF481" s="1121"/>
      <c r="AG481" s="1121"/>
      <c r="AH481" s="1121"/>
      <c r="AI481" s="1121"/>
    </row>
    <row r="482" spans="1:35" s="1122" customFormat="1">
      <c r="A482" s="1180"/>
      <c r="B482" s="1127"/>
      <c r="C482" s="1139"/>
      <c r="D482" s="1139"/>
      <c r="E482" s="1139"/>
      <c r="F482" s="1139"/>
      <c r="G482" s="1155"/>
      <c r="H482" s="1139"/>
      <c r="I482" s="1139"/>
      <c r="J482" s="1139"/>
      <c r="K482" s="1139"/>
      <c r="L482" s="1121"/>
      <c r="M482" s="1121"/>
      <c r="N482" s="1121"/>
      <c r="O482" s="1121"/>
      <c r="P482" s="1121"/>
      <c r="Q482" s="1121"/>
      <c r="R482" s="1121"/>
      <c r="S482" s="1121"/>
      <c r="T482" s="1121"/>
      <c r="U482" s="1121"/>
      <c r="V482" s="1121"/>
      <c r="W482" s="1121"/>
      <c r="X482" s="1121"/>
      <c r="Y482" s="1121"/>
      <c r="Z482" s="1121"/>
      <c r="AA482" s="1121"/>
      <c r="AB482" s="1121"/>
      <c r="AC482" s="1121"/>
      <c r="AD482" s="1121"/>
      <c r="AE482" s="1121"/>
      <c r="AF482" s="1121"/>
      <c r="AG482" s="1121"/>
      <c r="AH482" s="1121"/>
      <c r="AI482" s="1121"/>
    </row>
    <row r="483" spans="1:35" s="1122" customFormat="1">
      <c r="A483" s="1156" t="s">
        <v>355</v>
      </c>
      <c r="B483" s="1141"/>
      <c r="C483" s="1181"/>
      <c r="D483" s="1157"/>
      <c r="E483" s="1157"/>
      <c r="F483" s="1157"/>
      <c r="G483" s="1182"/>
      <c r="H483" s="1133"/>
      <c r="I483" s="1131"/>
      <c r="J483" s="1133"/>
      <c r="K483" s="1121"/>
      <c r="L483" s="1121"/>
      <c r="M483" s="1121"/>
      <c r="N483" s="1121"/>
      <c r="O483" s="1121"/>
      <c r="P483" s="1121"/>
      <c r="Q483" s="1121"/>
      <c r="R483" s="1121"/>
      <c r="S483" s="1121"/>
      <c r="T483" s="1121"/>
      <c r="U483" s="1121"/>
      <c r="V483" s="1121"/>
      <c r="W483" s="1121"/>
      <c r="X483" s="1121"/>
      <c r="Y483" s="1121"/>
      <c r="Z483" s="1121"/>
      <c r="AA483" s="1121"/>
      <c r="AB483" s="1121"/>
      <c r="AC483" s="1121"/>
      <c r="AD483" s="1121"/>
      <c r="AE483" s="1121"/>
      <c r="AF483" s="1121"/>
      <c r="AG483" s="1121"/>
      <c r="AH483" s="1121"/>
      <c r="AI483" s="1121"/>
    </row>
    <row r="484" spans="1:35" s="1122" customFormat="1">
      <c r="A484" s="1158" t="s">
        <v>1058</v>
      </c>
      <c r="B484" s="1127"/>
      <c r="C484" s="1131"/>
      <c r="D484" s="1133"/>
      <c r="E484" s="1133"/>
      <c r="F484" s="1133"/>
      <c r="G484" s="1144"/>
      <c r="H484" s="1133"/>
      <c r="I484" s="1131"/>
      <c r="J484" s="1133"/>
      <c r="K484" s="1121"/>
      <c r="L484" s="1121"/>
      <c r="M484" s="1121"/>
      <c r="N484" s="1121"/>
      <c r="O484" s="1121"/>
      <c r="P484" s="1121"/>
      <c r="Q484" s="1121"/>
      <c r="R484" s="1121"/>
      <c r="S484" s="1121"/>
      <c r="T484" s="1121"/>
      <c r="U484" s="1121"/>
      <c r="V484" s="1121"/>
      <c r="W484" s="1121"/>
      <c r="X484" s="1121"/>
      <c r="Y484" s="1121"/>
      <c r="Z484" s="1121"/>
      <c r="AA484" s="1121"/>
      <c r="AB484" s="1121"/>
      <c r="AC484" s="1121"/>
      <c r="AD484" s="1121"/>
      <c r="AE484" s="1121"/>
      <c r="AF484" s="1121"/>
      <c r="AG484" s="1121"/>
      <c r="AH484" s="1121"/>
      <c r="AI484" s="1121"/>
    </row>
    <row r="485" spans="1:35" s="1122" customFormat="1">
      <c r="A485" s="1158"/>
      <c r="B485" s="1127"/>
      <c r="C485" s="1131"/>
      <c r="D485" s="1131"/>
      <c r="E485" s="1131"/>
      <c r="F485" s="1131"/>
      <c r="G485" s="1159"/>
      <c r="H485" s="1133"/>
      <c r="I485" s="1131"/>
      <c r="J485" s="1133"/>
      <c r="K485" s="1121"/>
      <c r="L485" s="1121"/>
      <c r="M485" s="1121"/>
      <c r="N485" s="1121"/>
      <c r="O485" s="1121"/>
      <c r="P485" s="1121"/>
      <c r="Q485" s="1121"/>
      <c r="R485" s="1121"/>
      <c r="S485" s="1121"/>
      <c r="T485" s="1121"/>
      <c r="U485" s="1121"/>
      <c r="V485" s="1121"/>
      <c r="W485" s="1121"/>
      <c r="X485" s="1121"/>
      <c r="Y485" s="1121"/>
      <c r="Z485" s="1121"/>
      <c r="AA485" s="1121"/>
      <c r="AB485" s="1121"/>
      <c r="AC485" s="1121"/>
      <c r="AD485" s="1121"/>
      <c r="AE485" s="1121"/>
      <c r="AF485" s="1121"/>
      <c r="AG485" s="1121"/>
      <c r="AH485" s="1121"/>
      <c r="AI485" s="1121"/>
    </row>
    <row r="486" spans="1:35" s="1122" customFormat="1">
      <c r="A486" s="1160" t="s">
        <v>199</v>
      </c>
      <c r="B486" s="1127"/>
      <c r="C486" s="1131"/>
      <c r="D486" s="1131"/>
      <c r="E486" s="1133"/>
      <c r="F486" s="1133"/>
      <c r="G486" s="1144"/>
      <c r="H486" s="1133"/>
      <c r="I486" s="1131"/>
      <c r="J486" s="1133"/>
      <c r="K486" s="1121"/>
      <c r="L486" s="1121"/>
      <c r="M486" s="1121"/>
      <c r="N486" s="1121"/>
      <c r="O486" s="1121"/>
      <c r="P486" s="1121"/>
      <c r="Q486" s="1121"/>
      <c r="R486" s="1121"/>
      <c r="S486" s="1121"/>
      <c r="T486" s="1121"/>
      <c r="U486" s="1121"/>
      <c r="V486" s="1121"/>
      <c r="W486" s="1121"/>
      <c r="X486" s="1121"/>
      <c r="Y486" s="1121"/>
      <c r="Z486" s="1121"/>
      <c r="AA486" s="1121"/>
      <c r="AB486" s="1121"/>
      <c r="AC486" s="1121"/>
      <c r="AD486" s="1121"/>
      <c r="AE486" s="1121"/>
      <c r="AF486" s="1121"/>
      <c r="AG486" s="1121"/>
      <c r="AH486" s="1121"/>
      <c r="AI486" s="1121"/>
    </row>
    <row r="487" spans="1:35" s="1122" customFormat="1">
      <c r="A487" s="1154" t="s">
        <v>356</v>
      </c>
      <c r="B487" s="1127"/>
      <c r="C487" s="1131" t="s">
        <v>172</v>
      </c>
      <c r="D487" s="1131" t="s">
        <v>172</v>
      </c>
      <c r="E487" s="1133" t="s">
        <v>605</v>
      </c>
      <c r="F487" s="1133" t="s">
        <v>605</v>
      </c>
      <c r="G487" s="1144" t="s">
        <v>605</v>
      </c>
      <c r="H487" s="1133"/>
      <c r="I487" s="1131"/>
      <c r="J487" s="1133"/>
      <c r="K487" s="1121"/>
      <c r="L487" s="1121"/>
      <c r="M487" s="1121"/>
      <c r="N487" s="1121"/>
      <c r="O487" s="1121"/>
      <c r="P487" s="1121"/>
      <c r="Q487" s="1121"/>
      <c r="R487" s="1121"/>
      <c r="S487" s="1121"/>
      <c r="T487" s="1121"/>
      <c r="U487" s="1121"/>
      <c r="V487" s="1121"/>
      <c r="W487" s="1121"/>
      <c r="X487" s="1121"/>
      <c r="Y487" s="1121"/>
      <c r="Z487" s="1121"/>
      <c r="AA487" s="1121"/>
      <c r="AB487" s="1121"/>
      <c r="AC487" s="1121"/>
      <c r="AD487" s="1121"/>
      <c r="AE487" s="1121"/>
      <c r="AF487" s="1121"/>
      <c r="AG487" s="1121"/>
      <c r="AH487" s="1121"/>
      <c r="AI487" s="1121"/>
    </row>
    <row r="488" spans="1:35" s="1122" customFormat="1">
      <c r="A488" s="1143" t="s">
        <v>360</v>
      </c>
      <c r="B488" s="1127"/>
      <c r="C488" s="1137">
        <v>1366323618.7454619</v>
      </c>
      <c r="D488" s="1137">
        <v>309396652.06487614</v>
      </c>
      <c r="E488" s="1137" t="s">
        <v>605</v>
      </c>
      <c r="F488" s="1137" t="s">
        <v>605</v>
      </c>
      <c r="G488" s="1147" t="s">
        <v>605</v>
      </c>
      <c r="H488" s="1133"/>
      <c r="I488" s="1131"/>
      <c r="J488" s="1133"/>
      <c r="K488" s="1121"/>
      <c r="L488" s="1121"/>
      <c r="M488" s="1121"/>
      <c r="N488" s="1121"/>
      <c r="O488" s="1121"/>
      <c r="P488" s="1121"/>
      <c r="Q488" s="1121"/>
      <c r="R488" s="1121"/>
      <c r="S488" s="1121"/>
      <c r="T488" s="1121"/>
      <c r="U488" s="1121"/>
      <c r="V488" s="1121"/>
      <c r="W488" s="1121"/>
      <c r="X488" s="1121"/>
      <c r="Y488" s="1121"/>
      <c r="Z488" s="1121"/>
      <c r="AA488" s="1121"/>
      <c r="AB488" s="1121"/>
      <c r="AC488" s="1121"/>
      <c r="AD488" s="1121"/>
      <c r="AE488" s="1121"/>
      <c r="AF488" s="1121"/>
      <c r="AG488" s="1121"/>
      <c r="AH488" s="1121"/>
      <c r="AI488" s="1121"/>
    </row>
    <row r="489" spans="1:35" s="1122" customFormat="1">
      <c r="A489" s="1143" t="s">
        <v>917</v>
      </c>
      <c r="B489" s="1127"/>
      <c r="C489" s="1137">
        <v>0</v>
      </c>
      <c r="D489" s="1137">
        <v>0</v>
      </c>
      <c r="E489" s="1137" t="s">
        <v>605</v>
      </c>
      <c r="F489" s="1137" t="s">
        <v>605</v>
      </c>
      <c r="G489" s="1147" t="s">
        <v>605</v>
      </c>
      <c r="H489" s="1133"/>
      <c r="I489" s="1131"/>
      <c r="J489" s="1133"/>
      <c r="K489" s="1121"/>
      <c r="L489" s="1121"/>
      <c r="M489" s="1121"/>
      <c r="N489" s="1121"/>
      <c r="O489" s="1121"/>
      <c r="P489" s="1121"/>
      <c r="Q489" s="1121"/>
      <c r="R489" s="1121"/>
      <c r="S489" s="1121"/>
      <c r="T489" s="1121"/>
      <c r="U489" s="1121"/>
      <c r="V489" s="1121"/>
      <c r="W489" s="1121"/>
      <c r="X489" s="1121"/>
      <c r="Y489" s="1121"/>
      <c r="Z489" s="1121"/>
      <c r="AA489" s="1121"/>
      <c r="AB489" s="1121"/>
      <c r="AC489" s="1121"/>
      <c r="AD489" s="1121"/>
      <c r="AE489" s="1121"/>
      <c r="AF489" s="1121"/>
      <c r="AG489" s="1121"/>
      <c r="AH489" s="1121"/>
      <c r="AI489" s="1121"/>
    </row>
    <row r="490" spans="1:35" s="1122" customFormat="1">
      <c r="A490" s="1154" t="s">
        <v>357</v>
      </c>
      <c r="B490" s="1127"/>
      <c r="C490" s="1150" t="s">
        <v>668</v>
      </c>
      <c r="D490" s="1150" t="s">
        <v>668</v>
      </c>
      <c r="E490" s="1150" t="s">
        <v>605</v>
      </c>
      <c r="F490" s="1150" t="s">
        <v>605</v>
      </c>
      <c r="G490" s="1151" t="s">
        <v>605</v>
      </c>
      <c r="H490" s="1133"/>
      <c r="I490" s="1131"/>
      <c r="J490" s="1133"/>
      <c r="K490" s="1121"/>
      <c r="L490" s="1121"/>
      <c r="M490" s="1121"/>
      <c r="N490" s="1121"/>
      <c r="O490" s="1121"/>
      <c r="P490" s="1121"/>
      <c r="Q490" s="1121"/>
      <c r="R490" s="1121"/>
      <c r="S490" s="1121"/>
      <c r="T490" s="1121"/>
      <c r="U490" s="1121"/>
      <c r="V490" s="1121"/>
      <c r="W490" s="1121"/>
      <c r="X490" s="1121"/>
      <c r="Y490" s="1121"/>
      <c r="Z490" s="1121"/>
      <c r="AA490" s="1121"/>
      <c r="AB490" s="1121"/>
      <c r="AC490" s="1121"/>
      <c r="AD490" s="1121"/>
      <c r="AE490" s="1121"/>
      <c r="AF490" s="1121"/>
      <c r="AG490" s="1121"/>
      <c r="AH490" s="1121"/>
      <c r="AI490" s="1121"/>
    </row>
    <row r="491" spans="1:35" s="1122" customFormat="1">
      <c r="A491" s="1161" t="s">
        <v>670</v>
      </c>
      <c r="B491" s="1127"/>
      <c r="C491" s="1152">
        <v>1.504E-2</v>
      </c>
      <c r="D491" s="1152">
        <v>2.0150000000000001E-2</v>
      </c>
      <c r="E491" s="1152" t="s">
        <v>605</v>
      </c>
      <c r="F491" s="1152" t="s">
        <v>605</v>
      </c>
      <c r="G491" s="1153" t="s">
        <v>605</v>
      </c>
      <c r="H491" s="1133"/>
      <c r="I491" s="1131"/>
      <c r="J491" s="1133"/>
      <c r="K491" s="1121"/>
      <c r="L491" s="1121"/>
      <c r="M491" s="1121"/>
      <c r="N491" s="1121"/>
      <c r="O491" s="1121"/>
      <c r="P491" s="1121"/>
      <c r="Q491" s="1121"/>
      <c r="R491" s="1121"/>
      <c r="S491" s="1121"/>
      <c r="T491" s="1121"/>
      <c r="U491" s="1121"/>
      <c r="V491" s="1121"/>
      <c r="W491" s="1121"/>
      <c r="X491" s="1121"/>
      <c r="Y491" s="1121"/>
      <c r="Z491" s="1121"/>
      <c r="AA491" s="1121"/>
      <c r="AB491" s="1121"/>
      <c r="AC491" s="1121"/>
      <c r="AD491" s="1121"/>
      <c r="AE491" s="1121"/>
      <c r="AF491" s="1121"/>
      <c r="AG491" s="1121"/>
      <c r="AH491" s="1121"/>
      <c r="AI491" s="1121"/>
    </row>
    <row r="492" spans="1:35" s="1122" customFormat="1">
      <c r="A492" s="1143" t="s">
        <v>916</v>
      </c>
      <c r="B492" s="1127"/>
      <c r="C492" s="1137">
        <v>0</v>
      </c>
      <c r="D492" s="1137">
        <v>0</v>
      </c>
      <c r="E492" s="1137" t="s">
        <v>605</v>
      </c>
      <c r="F492" s="1137" t="s">
        <v>605</v>
      </c>
      <c r="G492" s="1147" t="s">
        <v>605</v>
      </c>
      <c r="H492" s="1133"/>
      <c r="I492" s="1131"/>
      <c r="J492" s="1133"/>
      <c r="K492" s="1121"/>
      <c r="L492" s="1121"/>
      <c r="M492" s="1121"/>
      <c r="N492" s="1121"/>
      <c r="O492" s="1121"/>
      <c r="P492" s="1121"/>
      <c r="Q492" s="1121"/>
      <c r="R492" s="1121"/>
      <c r="S492" s="1121"/>
      <c r="T492" s="1121"/>
      <c r="U492" s="1121"/>
      <c r="V492" s="1121"/>
      <c r="W492" s="1121"/>
      <c r="X492" s="1121"/>
      <c r="Y492" s="1121"/>
      <c r="Z492" s="1121"/>
      <c r="AA492" s="1121"/>
      <c r="AB492" s="1121"/>
      <c r="AC492" s="1121"/>
      <c r="AD492" s="1121"/>
      <c r="AE492" s="1121"/>
      <c r="AF492" s="1121"/>
      <c r="AG492" s="1121"/>
      <c r="AH492" s="1121"/>
      <c r="AI492" s="1121"/>
    </row>
    <row r="493" spans="1:35" s="1122" customFormat="1">
      <c r="A493" s="1143"/>
      <c r="B493" s="1127"/>
      <c r="C493" s="1131"/>
      <c r="D493" s="1131"/>
      <c r="E493" s="1133"/>
      <c r="F493" s="1133"/>
      <c r="G493" s="1144"/>
      <c r="H493" s="1133"/>
      <c r="I493" s="1131"/>
      <c r="J493" s="1133"/>
      <c r="K493" s="1121"/>
      <c r="L493" s="1121"/>
      <c r="M493" s="1121"/>
      <c r="N493" s="1121"/>
      <c r="O493" s="1121"/>
      <c r="P493" s="1121"/>
      <c r="Q493" s="1121"/>
      <c r="R493" s="1121"/>
      <c r="S493" s="1121"/>
      <c r="T493" s="1121"/>
      <c r="U493" s="1121"/>
      <c r="V493" s="1121"/>
      <c r="W493" s="1121"/>
      <c r="X493" s="1121"/>
      <c r="Y493" s="1121"/>
      <c r="Z493" s="1121"/>
      <c r="AA493" s="1121"/>
      <c r="AB493" s="1121"/>
      <c r="AC493" s="1121"/>
      <c r="AD493" s="1121"/>
      <c r="AE493" s="1121"/>
      <c r="AF493" s="1121"/>
      <c r="AG493" s="1121"/>
      <c r="AH493" s="1121"/>
      <c r="AI493" s="1121"/>
    </row>
    <row r="494" spans="1:35" s="1122" customFormat="1">
      <c r="A494" s="1160" t="s">
        <v>1060</v>
      </c>
      <c r="B494" s="1127"/>
      <c r="C494" s="1131"/>
      <c r="D494" s="1131"/>
      <c r="E494" s="1133"/>
      <c r="F494" s="1133"/>
      <c r="G494" s="1144"/>
      <c r="H494" s="1133"/>
      <c r="I494" s="1131"/>
      <c r="J494" s="1133"/>
      <c r="K494" s="1121"/>
      <c r="L494" s="1121"/>
      <c r="M494" s="1121"/>
      <c r="N494" s="1121"/>
      <c r="O494" s="1121"/>
      <c r="P494" s="1121"/>
      <c r="Q494" s="1121"/>
      <c r="R494" s="1121"/>
      <c r="S494" s="1121"/>
      <c r="T494" s="1121"/>
      <c r="U494" s="1121"/>
      <c r="V494" s="1121"/>
      <c r="W494" s="1121"/>
      <c r="X494" s="1121"/>
      <c r="Y494" s="1121"/>
      <c r="Z494" s="1121"/>
      <c r="AA494" s="1121"/>
      <c r="AB494" s="1121"/>
      <c r="AC494" s="1121"/>
      <c r="AD494" s="1121"/>
      <c r="AE494" s="1121"/>
      <c r="AF494" s="1121"/>
      <c r="AG494" s="1121"/>
      <c r="AH494" s="1121"/>
      <c r="AI494" s="1121"/>
    </row>
    <row r="495" spans="1:35" s="1122" customFormat="1">
      <c r="A495" s="1154" t="s">
        <v>356</v>
      </c>
      <c r="B495" s="1127"/>
      <c r="C495" s="1131" t="s">
        <v>172</v>
      </c>
      <c r="D495" s="1131" t="s">
        <v>172</v>
      </c>
      <c r="E495" s="1137" t="s">
        <v>605</v>
      </c>
      <c r="F495" s="1137" t="s">
        <v>605</v>
      </c>
      <c r="G495" s="1147" t="s">
        <v>605</v>
      </c>
      <c r="H495" s="1133"/>
      <c r="I495" s="1131"/>
      <c r="J495" s="1133"/>
      <c r="K495" s="1121"/>
      <c r="L495" s="1121"/>
      <c r="M495" s="1121"/>
      <c r="N495" s="1121"/>
      <c r="O495" s="1121"/>
      <c r="P495" s="1121"/>
      <c r="Q495" s="1121"/>
      <c r="R495" s="1121"/>
      <c r="S495" s="1121"/>
      <c r="T495" s="1121"/>
      <c r="U495" s="1121"/>
      <c r="V495" s="1121"/>
      <c r="W495" s="1121"/>
      <c r="X495" s="1121"/>
      <c r="Y495" s="1121"/>
      <c r="Z495" s="1121"/>
      <c r="AA495" s="1121"/>
      <c r="AB495" s="1121"/>
      <c r="AC495" s="1121"/>
      <c r="AD495" s="1121"/>
      <c r="AE495" s="1121"/>
      <c r="AF495" s="1121"/>
      <c r="AG495" s="1121"/>
      <c r="AH495" s="1121"/>
      <c r="AI495" s="1121"/>
    </row>
    <row r="496" spans="1:35" s="1122" customFormat="1">
      <c r="A496" s="1143" t="s">
        <v>361</v>
      </c>
      <c r="B496" s="1127"/>
      <c r="C496" s="1171">
        <v>2173820877.4299998</v>
      </c>
      <c r="D496" s="1136">
        <v>362303479.56999999</v>
      </c>
      <c r="E496" s="1137" t="s">
        <v>605</v>
      </c>
      <c r="F496" s="1137" t="s">
        <v>605</v>
      </c>
      <c r="G496" s="1147" t="s">
        <v>605</v>
      </c>
      <c r="H496" s="1133"/>
      <c r="I496" s="1131"/>
      <c r="J496" s="1133"/>
      <c r="K496" s="1121"/>
      <c r="L496" s="1121"/>
      <c r="M496" s="1121"/>
      <c r="N496" s="1121"/>
      <c r="O496" s="1121"/>
      <c r="P496" s="1121"/>
      <c r="Q496" s="1121"/>
      <c r="R496" s="1121"/>
      <c r="S496" s="1121"/>
      <c r="T496" s="1121"/>
      <c r="U496" s="1121"/>
      <c r="V496" s="1121"/>
      <c r="W496" s="1121"/>
      <c r="X496" s="1121"/>
      <c r="Y496" s="1121"/>
      <c r="Z496" s="1121"/>
      <c r="AA496" s="1121"/>
      <c r="AB496" s="1121"/>
      <c r="AC496" s="1121"/>
      <c r="AD496" s="1121"/>
      <c r="AE496" s="1121"/>
      <c r="AF496" s="1121"/>
      <c r="AG496" s="1121"/>
      <c r="AH496" s="1121"/>
      <c r="AI496" s="1121"/>
    </row>
    <row r="497" spans="1:36" s="1122" customFormat="1">
      <c r="A497" s="1154" t="s">
        <v>359</v>
      </c>
      <c r="B497" s="1127"/>
      <c r="C497" s="1171">
        <v>0</v>
      </c>
      <c r="D497" s="1136">
        <v>0</v>
      </c>
      <c r="E497" s="1132" t="s">
        <v>605</v>
      </c>
      <c r="F497" s="1132" t="s">
        <v>605</v>
      </c>
      <c r="G497" s="1183" t="s">
        <v>605</v>
      </c>
      <c r="H497" s="1133"/>
      <c r="I497" s="1131"/>
      <c r="J497" s="1133"/>
      <c r="K497" s="1121"/>
      <c r="L497" s="1121"/>
      <c r="M497" s="1121"/>
      <c r="N497" s="1121"/>
      <c r="O497" s="1121"/>
      <c r="P497" s="1121"/>
      <c r="Q497" s="1121"/>
      <c r="R497" s="1121"/>
      <c r="S497" s="1121"/>
      <c r="T497" s="1121"/>
      <c r="U497" s="1121"/>
      <c r="V497" s="1121"/>
      <c r="W497" s="1121"/>
      <c r="X497" s="1121"/>
      <c r="Y497" s="1121"/>
      <c r="Z497" s="1121"/>
      <c r="AA497" s="1121"/>
      <c r="AB497" s="1121"/>
      <c r="AC497" s="1121"/>
      <c r="AD497" s="1121"/>
      <c r="AE497" s="1121"/>
      <c r="AF497" s="1121"/>
      <c r="AG497" s="1121"/>
      <c r="AH497" s="1121"/>
      <c r="AI497" s="1121"/>
    </row>
    <row r="498" spans="1:36" s="1122" customFormat="1">
      <c r="A498" s="1154" t="s">
        <v>357</v>
      </c>
      <c r="B498" s="1127"/>
      <c r="C498" s="1132" t="s">
        <v>666</v>
      </c>
      <c r="D498" s="1132" t="s">
        <v>667</v>
      </c>
      <c r="E498" s="1132" t="s">
        <v>605</v>
      </c>
      <c r="F498" s="1132" t="s">
        <v>605</v>
      </c>
      <c r="G498" s="1183" t="s">
        <v>605</v>
      </c>
      <c r="L498" s="1121"/>
      <c r="M498" s="1121"/>
      <c r="N498" s="1121"/>
      <c r="O498" s="1121"/>
      <c r="P498" s="1121"/>
      <c r="Q498" s="1121"/>
      <c r="R498" s="1121"/>
      <c r="S498" s="1121"/>
      <c r="T498" s="1121"/>
      <c r="U498" s="1121"/>
      <c r="V498" s="1121"/>
      <c r="W498" s="1121"/>
      <c r="X498" s="1121"/>
      <c r="Y498" s="1121"/>
      <c r="Z498" s="1121"/>
      <c r="AA498" s="1121"/>
      <c r="AB498" s="1121"/>
      <c r="AC498" s="1121"/>
      <c r="AD498" s="1121"/>
      <c r="AE498" s="1121"/>
      <c r="AF498" s="1121"/>
      <c r="AG498" s="1121"/>
      <c r="AH498" s="1121"/>
      <c r="AI498" s="1121"/>
    </row>
    <row r="499" spans="1:36" s="1122" customFormat="1">
      <c r="A499" s="1143" t="s">
        <v>670</v>
      </c>
      <c r="B499" s="1127"/>
      <c r="C499" s="1152">
        <v>1.55E-2</v>
      </c>
      <c r="D499" s="1152">
        <v>1.4999999999999999E-2</v>
      </c>
      <c r="E499" s="1132" t="s">
        <v>605</v>
      </c>
      <c r="F499" s="1132" t="s">
        <v>605</v>
      </c>
      <c r="G499" s="1183" t="s">
        <v>605</v>
      </c>
      <c r="L499" s="1121"/>
      <c r="M499" s="1121"/>
      <c r="N499" s="1121"/>
      <c r="O499" s="1121"/>
      <c r="P499" s="1121"/>
      <c r="Q499" s="1121"/>
      <c r="R499" s="1121"/>
      <c r="S499" s="1121"/>
      <c r="T499" s="1121"/>
      <c r="U499" s="1121"/>
      <c r="V499" s="1121"/>
      <c r="W499" s="1121"/>
      <c r="X499" s="1121"/>
      <c r="Y499" s="1121"/>
      <c r="Z499" s="1121"/>
      <c r="AA499" s="1121"/>
      <c r="AB499" s="1121"/>
      <c r="AC499" s="1121"/>
      <c r="AD499" s="1121"/>
      <c r="AE499" s="1121"/>
      <c r="AF499" s="1121"/>
      <c r="AG499" s="1121"/>
      <c r="AH499" s="1121"/>
      <c r="AI499" s="1121"/>
    </row>
    <row r="500" spans="1:36" s="1122" customFormat="1">
      <c r="A500" s="1154" t="s">
        <v>358</v>
      </c>
      <c r="B500" s="1127"/>
      <c r="C500" s="1138">
        <v>0</v>
      </c>
      <c r="D500" s="1136">
        <v>0</v>
      </c>
      <c r="E500" s="1132" t="s">
        <v>605</v>
      </c>
      <c r="F500" s="1132" t="s">
        <v>605</v>
      </c>
      <c r="G500" s="1183" t="s">
        <v>605</v>
      </c>
      <c r="L500" s="1121"/>
      <c r="M500" s="1121"/>
      <c r="N500" s="1121"/>
      <c r="O500" s="1121"/>
      <c r="P500" s="1121"/>
      <c r="Q500" s="1121"/>
      <c r="R500" s="1121"/>
      <c r="S500" s="1121"/>
      <c r="T500" s="1121"/>
      <c r="U500" s="1121"/>
      <c r="V500" s="1121"/>
      <c r="W500" s="1121"/>
      <c r="X500" s="1121"/>
      <c r="Y500" s="1121"/>
      <c r="Z500" s="1121"/>
      <c r="AA500" s="1121"/>
      <c r="AB500" s="1121"/>
      <c r="AC500" s="1121"/>
      <c r="AD500" s="1121"/>
      <c r="AE500" s="1121"/>
      <c r="AF500" s="1121"/>
      <c r="AG500" s="1121"/>
      <c r="AH500" s="1121"/>
      <c r="AI500" s="1121"/>
    </row>
    <row r="501" spans="1:36" s="1122" customFormat="1">
      <c r="A501" s="1184"/>
      <c r="B501" s="1162"/>
      <c r="C501" s="1186"/>
      <c r="D501" s="1185"/>
      <c r="E501" s="1193"/>
      <c r="F501" s="1193"/>
      <c r="G501" s="1194"/>
      <c r="H501" s="1133"/>
      <c r="I501" s="1131"/>
      <c r="J501" s="1133"/>
      <c r="K501" s="1121"/>
      <c r="L501" s="1121"/>
      <c r="M501" s="1121"/>
      <c r="N501" s="1121"/>
      <c r="O501" s="1121"/>
      <c r="P501" s="1121"/>
      <c r="Q501" s="1121"/>
      <c r="R501" s="1121"/>
      <c r="S501" s="1121"/>
      <c r="T501" s="1121"/>
      <c r="U501" s="1121"/>
      <c r="V501" s="1121"/>
      <c r="W501" s="1121"/>
      <c r="X501" s="1121"/>
      <c r="Y501" s="1121"/>
      <c r="Z501" s="1121"/>
      <c r="AA501" s="1121"/>
      <c r="AB501" s="1121"/>
      <c r="AC501" s="1121"/>
      <c r="AD501" s="1121"/>
      <c r="AE501" s="1121"/>
      <c r="AF501" s="1121"/>
      <c r="AG501" s="1121"/>
      <c r="AH501" s="1121"/>
      <c r="AI501" s="1121"/>
    </row>
    <row r="502" spans="1:36" s="1122" customFormat="1">
      <c r="A502" s="1188"/>
      <c r="B502" s="1127"/>
      <c r="C502" s="1133"/>
      <c r="D502" s="1131"/>
      <c r="E502" s="1133"/>
      <c r="F502" s="1121"/>
      <c r="G502" s="1121"/>
      <c r="H502" s="1121"/>
      <c r="I502" s="1133"/>
      <c r="J502" s="1131"/>
      <c r="K502" s="1133"/>
      <c r="L502" s="1121"/>
      <c r="M502" s="1121"/>
      <c r="N502" s="1121"/>
      <c r="O502" s="1121"/>
      <c r="P502" s="1121"/>
      <c r="Q502" s="1121"/>
      <c r="R502" s="1121"/>
      <c r="S502" s="1121"/>
      <c r="T502" s="1121"/>
      <c r="U502" s="1121"/>
      <c r="V502" s="1121"/>
      <c r="W502" s="1121"/>
      <c r="X502" s="1121"/>
      <c r="Y502" s="1121"/>
      <c r="Z502" s="1121"/>
      <c r="AA502" s="1121"/>
      <c r="AB502" s="1121"/>
      <c r="AC502" s="1121"/>
      <c r="AD502" s="1121"/>
      <c r="AE502" s="1121"/>
      <c r="AF502" s="1121"/>
      <c r="AG502" s="1121"/>
      <c r="AH502" s="1121"/>
      <c r="AI502" s="1121"/>
      <c r="AJ502" s="1121"/>
    </row>
    <row r="503" spans="1:36" s="1122" customFormat="1" ht="15.75">
      <c r="A503" s="1140" t="s">
        <v>1083</v>
      </c>
      <c r="B503" s="1141"/>
      <c r="C503" s="1164" t="s">
        <v>531</v>
      </c>
      <c r="D503" s="1164" t="s">
        <v>1085</v>
      </c>
      <c r="E503" s="1165" t="s">
        <v>341</v>
      </c>
      <c r="F503" s="1164" t="s">
        <v>1088</v>
      </c>
      <c r="G503" s="1164" t="s">
        <v>1090</v>
      </c>
      <c r="H503" s="1164" t="s">
        <v>1092</v>
      </c>
      <c r="I503" s="1191" t="s">
        <v>76</v>
      </c>
      <c r="J503" s="1142"/>
      <c r="K503" s="1167"/>
      <c r="L503" s="1121"/>
      <c r="M503" s="1121"/>
      <c r="N503" s="1121"/>
      <c r="O503" s="1121"/>
      <c r="P503" s="1121"/>
      <c r="Q503" s="1121"/>
      <c r="R503" s="1121"/>
      <c r="S503" s="1121"/>
      <c r="T503" s="1121"/>
      <c r="U503" s="1121"/>
      <c r="V503" s="1121"/>
      <c r="W503" s="1121"/>
      <c r="X503" s="1121"/>
      <c r="Y503" s="1121"/>
      <c r="Z503" s="1121"/>
      <c r="AA503" s="1121"/>
      <c r="AB503" s="1121"/>
      <c r="AC503" s="1121"/>
      <c r="AD503" s="1121"/>
      <c r="AE503" s="1121"/>
      <c r="AF503" s="1121"/>
      <c r="AG503" s="1121"/>
      <c r="AH503" s="1121"/>
      <c r="AI503" s="1121"/>
      <c r="AJ503" s="1121"/>
    </row>
    <row r="504" spans="1:36" s="1122" customFormat="1" ht="15.75">
      <c r="A504" s="1168"/>
      <c r="B504" s="1127"/>
      <c r="C504" s="1166"/>
      <c r="D504" s="1142"/>
      <c r="E504" s="1142"/>
      <c r="F504" s="1167"/>
      <c r="G504" s="1167"/>
      <c r="H504" s="1167"/>
      <c r="I504" s="1300"/>
      <c r="J504" s="1142"/>
      <c r="K504" s="1167"/>
      <c r="L504" s="1121"/>
      <c r="M504" s="1121"/>
      <c r="N504" s="1121"/>
      <c r="O504" s="1121"/>
      <c r="P504" s="1121"/>
      <c r="Q504" s="1121"/>
      <c r="R504" s="1121"/>
      <c r="S504" s="1121"/>
      <c r="T504" s="1121"/>
      <c r="U504" s="1121"/>
      <c r="V504" s="1121"/>
      <c r="W504" s="1121"/>
      <c r="X504" s="1121"/>
      <c r="Y504" s="1121"/>
      <c r="Z504" s="1121"/>
      <c r="AA504" s="1121"/>
      <c r="AB504" s="1121"/>
      <c r="AC504" s="1121"/>
      <c r="AD504" s="1121"/>
      <c r="AE504" s="1121"/>
      <c r="AF504" s="1121"/>
      <c r="AG504" s="1121"/>
      <c r="AH504" s="1121"/>
      <c r="AI504" s="1121"/>
      <c r="AJ504" s="1121"/>
    </row>
    <row r="505" spans="1:36" s="1122" customFormat="1">
      <c r="A505" s="1143" t="s">
        <v>399</v>
      </c>
      <c r="B505" s="1127"/>
      <c r="C505" s="1312" t="s">
        <v>1084</v>
      </c>
      <c r="D505" s="1313" t="s">
        <v>1086</v>
      </c>
      <c r="E505" s="1313" t="s">
        <v>1087</v>
      </c>
      <c r="F505" s="1313" t="s">
        <v>1089</v>
      </c>
      <c r="G505" s="1313" t="s">
        <v>1091</v>
      </c>
      <c r="H505" s="1313" t="s">
        <v>1093</v>
      </c>
      <c r="I505" s="1314" t="s">
        <v>1100</v>
      </c>
      <c r="J505" s="1131"/>
      <c r="K505" s="1121"/>
      <c r="M505" s="1121"/>
      <c r="N505" s="1121"/>
      <c r="O505" s="1121"/>
      <c r="P505" s="1121"/>
      <c r="Q505" s="1121"/>
      <c r="R505" s="1121"/>
      <c r="S505" s="1121"/>
      <c r="T505" s="1121"/>
      <c r="U505" s="1121"/>
      <c r="V505" s="1121"/>
      <c r="W505" s="1121"/>
      <c r="X505" s="1121"/>
      <c r="Y505" s="1121"/>
      <c r="Z505" s="1121"/>
      <c r="AA505" s="1121"/>
      <c r="AB505" s="1121"/>
      <c r="AC505" s="1121"/>
      <c r="AD505" s="1121"/>
      <c r="AE505" s="1121"/>
      <c r="AF505" s="1121"/>
      <c r="AG505" s="1121"/>
      <c r="AH505" s="1121"/>
      <c r="AI505" s="1121"/>
      <c r="AJ505" s="1121"/>
    </row>
    <row r="506" spans="1:36" s="1122" customFormat="1">
      <c r="A506" s="1143" t="s">
        <v>407</v>
      </c>
      <c r="B506" s="1170"/>
      <c r="C506" s="1315" t="s">
        <v>1094</v>
      </c>
      <c r="D506" s="1315" t="s">
        <v>1095</v>
      </c>
      <c r="E506" s="1316" t="s">
        <v>1096</v>
      </c>
      <c r="F506" s="1315" t="s">
        <v>1097</v>
      </c>
      <c r="G506" s="1315" t="s">
        <v>1098</v>
      </c>
      <c r="H506" s="1315" t="s">
        <v>1099</v>
      </c>
      <c r="I506" s="1317" t="s">
        <v>1101</v>
      </c>
      <c r="J506" s="1163"/>
      <c r="K506" s="1133"/>
      <c r="L506" s="1121"/>
      <c r="M506" s="1121"/>
      <c r="N506" s="1121"/>
      <c r="O506" s="1121"/>
      <c r="P506" s="1121"/>
      <c r="Q506" s="1121"/>
      <c r="R506" s="1121"/>
      <c r="S506" s="1121"/>
      <c r="T506" s="1121"/>
      <c r="U506" s="1121"/>
      <c r="V506" s="1121"/>
      <c r="W506" s="1121"/>
      <c r="X506" s="1121"/>
      <c r="Y506" s="1121"/>
      <c r="Z506" s="1121"/>
      <c r="AA506" s="1121"/>
      <c r="AB506" s="1121"/>
      <c r="AC506" s="1121"/>
      <c r="AD506" s="1121"/>
      <c r="AE506" s="1121"/>
      <c r="AF506" s="1121"/>
      <c r="AG506" s="1121"/>
      <c r="AH506" s="1121"/>
      <c r="AI506" s="1121"/>
      <c r="AJ506" s="1121"/>
    </row>
    <row r="507" spans="1:36" s="1122" customFormat="1">
      <c r="A507" s="1143" t="s">
        <v>202</v>
      </c>
      <c r="B507" s="1170"/>
      <c r="C507" s="1318">
        <v>41074</v>
      </c>
      <c r="D507" s="1318">
        <v>41074</v>
      </c>
      <c r="E507" s="1318">
        <v>41074</v>
      </c>
      <c r="F507" s="1318">
        <v>41074</v>
      </c>
      <c r="G507" s="1318">
        <v>41074</v>
      </c>
      <c r="H507" s="1318">
        <v>41074</v>
      </c>
      <c r="I507" s="1319">
        <v>41074</v>
      </c>
      <c r="J507" s="1145"/>
      <c r="K507" s="1145"/>
      <c r="L507" s="1121"/>
      <c r="M507" s="1121"/>
      <c r="N507" s="1121"/>
      <c r="O507" s="1121"/>
      <c r="P507" s="1121"/>
      <c r="Q507" s="1121"/>
      <c r="R507" s="1121"/>
      <c r="S507" s="1121"/>
      <c r="T507" s="1121"/>
      <c r="U507" s="1121"/>
      <c r="V507" s="1121"/>
      <c r="W507" s="1121"/>
      <c r="X507" s="1121"/>
      <c r="Y507" s="1121"/>
      <c r="Z507" s="1121"/>
      <c r="AA507" s="1121"/>
      <c r="AB507" s="1121"/>
      <c r="AC507" s="1121"/>
      <c r="AD507" s="1121"/>
      <c r="AE507" s="1121"/>
      <c r="AF507" s="1121"/>
      <c r="AG507" s="1121"/>
      <c r="AH507" s="1121"/>
      <c r="AI507" s="1121"/>
      <c r="AJ507" s="1121"/>
    </row>
    <row r="508" spans="1:36" s="1122" customFormat="1">
      <c r="A508" s="1143" t="s">
        <v>658</v>
      </c>
      <c r="B508" s="1127"/>
      <c r="C508" s="1320">
        <v>654000000</v>
      </c>
      <c r="D508" s="1320">
        <v>654000000</v>
      </c>
      <c r="E508" s="1320">
        <v>674000000</v>
      </c>
      <c r="F508" s="1320">
        <v>458000000</v>
      </c>
      <c r="G508" s="1320">
        <v>327000000</v>
      </c>
      <c r="H508" s="1321">
        <v>500000000</v>
      </c>
      <c r="I508" s="1322">
        <v>185000000</v>
      </c>
      <c r="J508" s="1136"/>
      <c r="K508" s="1137"/>
      <c r="L508" s="1121"/>
      <c r="M508" s="1121"/>
      <c r="N508" s="1121"/>
      <c r="O508" s="1121"/>
      <c r="P508" s="1121"/>
      <c r="Q508" s="1121"/>
      <c r="R508" s="1121"/>
      <c r="S508" s="1121"/>
      <c r="T508" s="1121"/>
      <c r="U508" s="1121"/>
      <c r="V508" s="1121"/>
      <c r="W508" s="1121"/>
      <c r="X508" s="1121"/>
      <c r="Y508" s="1121"/>
      <c r="Z508" s="1121"/>
      <c r="AA508" s="1121"/>
      <c r="AB508" s="1121"/>
      <c r="AC508" s="1121"/>
      <c r="AD508" s="1121"/>
      <c r="AE508" s="1121"/>
      <c r="AF508" s="1121"/>
      <c r="AG508" s="1121"/>
      <c r="AH508" s="1121"/>
      <c r="AI508" s="1121"/>
      <c r="AJ508" s="1121"/>
    </row>
    <row r="509" spans="1:36" s="1122" customFormat="1">
      <c r="A509" s="1143" t="s">
        <v>659</v>
      </c>
      <c r="B509" s="1127"/>
      <c r="C509" s="1320">
        <v>654000000</v>
      </c>
      <c r="D509" s="1320">
        <v>654000000</v>
      </c>
      <c r="E509" s="1320">
        <v>674000000</v>
      </c>
      <c r="F509" s="1323">
        <v>458000000</v>
      </c>
      <c r="G509" s="1320">
        <v>327000000</v>
      </c>
      <c r="H509" s="1321">
        <v>500000000</v>
      </c>
      <c r="I509" s="1322">
        <v>185000000</v>
      </c>
      <c r="J509" s="1136"/>
      <c r="K509" s="1137"/>
      <c r="L509" s="1121"/>
      <c r="M509" s="1121"/>
      <c r="N509" s="1121"/>
      <c r="O509" s="1121"/>
      <c r="P509" s="1121"/>
      <c r="Q509" s="1121"/>
      <c r="R509" s="1121"/>
      <c r="S509" s="1121"/>
      <c r="T509" s="1121"/>
      <c r="U509" s="1121"/>
      <c r="V509" s="1121"/>
      <c r="W509" s="1121"/>
      <c r="X509" s="1121"/>
      <c r="Y509" s="1121"/>
      <c r="Z509" s="1121"/>
      <c r="AA509" s="1121"/>
      <c r="AB509" s="1121"/>
      <c r="AC509" s="1121"/>
      <c r="AD509" s="1121"/>
      <c r="AE509" s="1121"/>
      <c r="AF509" s="1121"/>
      <c r="AG509" s="1121"/>
      <c r="AH509" s="1121"/>
      <c r="AI509" s="1121"/>
      <c r="AJ509" s="1121"/>
    </row>
    <row r="510" spans="1:36" s="1122" customFormat="1">
      <c r="A510" s="1143" t="s">
        <v>917</v>
      </c>
      <c r="B510" s="1127"/>
      <c r="C510" s="1320">
        <v>0</v>
      </c>
      <c r="D510" s="1320">
        <v>0</v>
      </c>
      <c r="E510" s="1320">
        <v>0</v>
      </c>
      <c r="F510" s="1320">
        <v>0</v>
      </c>
      <c r="G510" s="1320">
        <v>0</v>
      </c>
      <c r="H510" s="1321">
        <v>0</v>
      </c>
      <c r="I510" s="1322">
        <v>0</v>
      </c>
      <c r="J510" s="1136"/>
      <c r="K510" s="1137"/>
      <c r="L510" s="1172"/>
      <c r="M510" s="1121"/>
      <c r="N510" s="1121"/>
      <c r="O510" s="1121"/>
      <c r="P510" s="1121"/>
      <c r="Q510" s="1121"/>
      <c r="R510" s="1121"/>
      <c r="S510" s="1121"/>
      <c r="T510" s="1121"/>
      <c r="U510" s="1121"/>
      <c r="V510" s="1121"/>
      <c r="W510" s="1121"/>
      <c r="X510" s="1121"/>
      <c r="Y510" s="1121"/>
      <c r="Z510" s="1121"/>
      <c r="AA510" s="1121"/>
      <c r="AB510" s="1121"/>
      <c r="AC510" s="1121"/>
      <c r="AD510" s="1121"/>
      <c r="AE510" s="1121"/>
      <c r="AF510" s="1121"/>
      <c r="AG510" s="1121"/>
      <c r="AH510" s="1121"/>
      <c r="AI510" s="1121"/>
      <c r="AJ510" s="1121"/>
    </row>
    <row r="511" spans="1:36" s="1122" customFormat="1">
      <c r="A511" s="1143" t="s">
        <v>660</v>
      </c>
      <c r="B511" s="1127"/>
      <c r="C511" s="1320">
        <v>654000000</v>
      </c>
      <c r="D511" s="1320">
        <v>654000000</v>
      </c>
      <c r="E511" s="1320">
        <v>674000000</v>
      </c>
      <c r="F511" s="1320">
        <v>458000000</v>
      </c>
      <c r="G511" s="1320">
        <v>327000000</v>
      </c>
      <c r="H511" s="1321">
        <v>500000000</v>
      </c>
      <c r="I511" s="1322">
        <v>185000000</v>
      </c>
      <c r="J511" s="1136"/>
      <c r="K511" s="1137"/>
      <c r="L511" s="1121"/>
      <c r="M511" s="1121"/>
      <c r="N511" s="1121"/>
      <c r="O511" s="1121"/>
      <c r="P511" s="1121"/>
      <c r="Q511" s="1121"/>
      <c r="R511" s="1121"/>
      <c r="S511" s="1121"/>
      <c r="T511" s="1121"/>
      <c r="U511" s="1121"/>
      <c r="V511" s="1121"/>
      <c r="W511" s="1121"/>
      <c r="X511" s="1121"/>
      <c r="Y511" s="1121"/>
      <c r="Z511" s="1121"/>
      <c r="AA511" s="1121"/>
      <c r="AB511" s="1121"/>
      <c r="AC511" s="1121"/>
      <c r="AD511" s="1121"/>
      <c r="AE511" s="1121"/>
      <c r="AF511" s="1121"/>
      <c r="AG511" s="1121"/>
      <c r="AH511" s="1121"/>
      <c r="AI511" s="1121"/>
      <c r="AJ511" s="1121"/>
    </row>
    <row r="512" spans="1:36" s="1122" customFormat="1">
      <c r="A512" s="1143" t="s">
        <v>204</v>
      </c>
      <c r="B512" s="1127"/>
      <c r="C512" s="1324">
        <v>1</v>
      </c>
      <c r="D512" s="1324">
        <v>1</v>
      </c>
      <c r="E512" s="1324">
        <v>1</v>
      </c>
      <c r="F512" s="1324">
        <v>1</v>
      </c>
      <c r="G512" s="1324">
        <v>1</v>
      </c>
      <c r="H512" s="1324">
        <v>1.5528</v>
      </c>
      <c r="I512" s="1325">
        <v>1</v>
      </c>
      <c r="J512" s="1148"/>
      <c r="K512" s="1148"/>
      <c r="L512" s="1148"/>
      <c r="M512" s="1121"/>
      <c r="N512" s="1121"/>
      <c r="O512" s="1121"/>
      <c r="P512" s="1121"/>
      <c r="Q512" s="1121"/>
      <c r="R512" s="1121"/>
      <c r="S512" s="1121"/>
      <c r="T512" s="1121"/>
      <c r="U512" s="1121"/>
      <c r="V512" s="1121"/>
      <c r="W512" s="1121"/>
      <c r="X512" s="1121"/>
      <c r="Y512" s="1121"/>
      <c r="Z512" s="1121"/>
      <c r="AA512" s="1121"/>
      <c r="AB512" s="1121"/>
      <c r="AC512" s="1121"/>
      <c r="AD512" s="1121"/>
      <c r="AE512" s="1121"/>
      <c r="AF512" s="1121"/>
      <c r="AG512" s="1121"/>
      <c r="AH512" s="1121"/>
      <c r="AI512" s="1121"/>
      <c r="AJ512" s="1121"/>
    </row>
    <row r="513" spans="1:36" s="1122" customFormat="1">
      <c r="A513" s="1143" t="s">
        <v>393</v>
      </c>
      <c r="B513" s="1127"/>
      <c r="C513" s="1324">
        <v>1</v>
      </c>
      <c r="D513" s="1324">
        <v>1</v>
      </c>
      <c r="E513" s="1324">
        <v>1</v>
      </c>
      <c r="F513" s="1324">
        <v>1</v>
      </c>
      <c r="G513" s="1324">
        <v>1</v>
      </c>
      <c r="H513" s="1324">
        <v>1</v>
      </c>
      <c r="I513" s="1325">
        <v>1</v>
      </c>
      <c r="J513" s="1148"/>
      <c r="K513" s="1148"/>
      <c r="L513" s="1121"/>
      <c r="M513" s="1121"/>
      <c r="N513" s="1121"/>
      <c r="O513" s="1121"/>
      <c r="P513" s="1121"/>
      <c r="Q513" s="1121"/>
      <c r="R513" s="1121"/>
      <c r="S513" s="1121"/>
      <c r="T513" s="1121"/>
      <c r="U513" s="1121"/>
      <c r="V513" s="1121"/>
      <c r="W513" s="1121"/>
      <c r="X513" s="1121"/>
      <c r="Y513" s="1121"/>
      <c r="Z513" s="1121"/>
      <c r="AA513" s="1121"/>
      <c r="AB513" s="1121"/>
      <c r="AC513" s="1121"/>
      <c r="AD513" s="1121"/>
      <c r="AE513" s="1121"/>
      <c r="AF513" s="1121"/>
      <c r="AG513" s="1121"/>
      <c r="AH513" s="1121"/>
      <c r="AI513" s="1121"/>
      <c r="AJ513" s="1121"/>
    </row>
    <row r="514" spans="1:36" s="1122" customFormat="1">
      <c r="A514" s="1143" t="s">
        <v>394</v>
      </c>
      <c r="B514" s="1127"/>
      <c r="C514" s="1324">
        <v>1</v>
      </c>
      <c r="D514" s="1324">
        <v>1</v>
      </c>
      <c r="E514" s="1324">
        <v>1</v>
      </c>
      <c r="F514" s="1324">
        <v>1</v>
      </c>
      <c r="G514" s="1324">
        <v>1</v>
      </c>
      <c r="H514" s="1324">
        <v>1</v>
      </c>
      <c r="I514" s="1325">
        <v>1</v>
      </c>
      <c r="J514" s="1148"/>
      <c r="K514" s="1148"/>
      <c r="L514" s="1121"/>
      <c r="M514" s="1121"/>
      <c r="N514" s="1121"/>
      <c r="O514" s="1121"/>
      <c r="P514" s="1121"/>
      <c r="Q514" s="1121"/>
      <c r="R514" s="1121"/>
      <c r="S514" s="1121"/>
      <c r="T514" s="1121"/>
      <c r="U514" s="1121"/>
      <c r="V514" s="1121"/>
      <c r="W514" s="1121"/>
      <c r="X514" s="1121"/>
      <c r="Y514" s="1121"/>
      <c r="Z514" s="1121"/>
      <c r="AA514" s="1121"/>
      <c r="AB514" s="1121"/>
      <c r="AC514" s="1121"/>
      <c r="AD514" s="1121"/>
      <c r="AE514" s="1121"/>
      <c r="AF514" s="1121"/>
      <c r="AG514" s="1121"/>
      <c r="AH514" s="1121"/>
      <c r="AI514" s="1121"/>
      <c r="AJ514" s="1121"/>
    </row>
    <row r="515" spans="1:36" s="1122" customFormat="1">
      <c r="A515" s="1143" t="s">
        <v>661</v>
      </c>
      <c r="B515" s="1127"/>
      <c r="C515" s="1320">
        <v>0</v>
      </c>
      <c r="D515" s="1320">
        <v>0</v>
      </c>
      <c r="E515" s="1320">
        <v>0</v>
      </c>
      <c r="F515" s="1320">
        <v>0</v>
      </c>
      <c r="G515" s="1320">
        <v>0</v>
      </c>
      <c r="H515" s="1321">
        <v>0</v>
      </c>
      <c r="I515" s="1322">
        <v>0</v>
      </c>
      <c r="J515" s="1136"/>
      <c r="K515" s="1137"/>
      <c r="L515" s="1121"/>
      <c r="M515" s="1121"/>
      <c r="N515" s="1121"/>
      <c r="O515" s="1121"/>
      <c r="P515" s="1121"/>
      <c r="Q515" s="1121"/>
      <c r="R515" s="1121"/>
      <c r="S515" s="1121"/>
      <c r="T515" s="1121"/>
      <c r="U515" s="1121"/>
      <c r="V515" s="1121"/>
      <c r="W515" s="1121"/>
      <c r="X515" s="1121"/>
      <c r="Y515" s="1121"/>
      <c r="Z515" s="1121"/>
      <c r="AA515" s="1121"/>
      <c r="AB515" s="1121"/>
      <c r="AC515" s="1121"/>
      <c r="AD515" s="1121"/>
      <c r="AE515" s="1121"/>
      <c r="AF515" s="1121"/>
      <c r="AG515" s="1121"/>
      <c r="AH515" s="1121"/>
      <c r="AI515" s="1121"/>
      <c r="AJ515" s="1121"/>
    </row>
    <row r="516" spans="1:36" s="1122" customFormat="1">
      <c r="A516" s="1143" t="s">
        <v>662</v>
      </c>
      <c r="B516" s="1127"/>
      <c r="C516" s="1320">
        <v>0</v>
      </c>
      <c r="D516" s="1320">
        <v>0</v>
      </c>
      <c r="E516" s="1320">
        <v>0</v>
      </c>
      <c r="F516" s="1320">
        <v>0</v>
      </c>
      <c r="G516" s="1320">
        <v>0</v>
      </c>
      <c r="H516" s="1321">
        <v>0</v>
      </c>
      <c r="I516" s="1322">
        <v>0</v>
      </c>
      <c r="J516" s="1136"/>
      <c r="K516" s="1137"/>
      <c r="L516" s="1121"/>
      <c r="M516" s="1121"/>
      <c r="N516" s="1121"/>
      <c r="O516" s="1121"/>
      <c r="P516" s="1121"/>
      <c r="Q516" s="1121"/>
      <c r="R516" s="1121"/>
      <c r="S516" s="1121"/>
      <c r="T516" s="1121"/>
      <c r="U516" s="1121"/>
      <c r="V516" s="1121"/>
      <c r="W516" s="1121"/>
      <c r="X516" s="1121"/>
      <c r="Y516" s="1121"/>
      <c r="Z516" s="1121"/>
      <c r="AA516" s="1121"/>
      <c r="AB516" s="1121"/>
      <c r="AC516" s="1121"/>
      <c r="AD516" s="1121"/>
      <c r="AE516" s="1121"/>
      <c r="AF516" s="1121"/>
      <c r="AG516" s="1121"/>
      <c r="AH516" s="1121"/>
      <c r="AI516" s="1121"/>
      <c r="AJ516" s="1121"/>
    </row>
    <row r="517" spans="1:36" s="1122" customFormat="1">
      <c r="A517" s="1143" t="s">
        <v>663</v>
      </c>
      <c r="B517" s="1127"/>
      <c r="C517" s="1320">
        <v>0</v>
      </c>
      <c r="D517" s="1320">
        <v>0</v>
      </c>
      <c r="E517" s="1320">
        <v>0</v>
      </c>
      <c r="F517" s="1320">
        <v>0</v>
      </c>
      <c r="G517" s="1320">
        <v>0</v>
      </c>
      <c r="H517" s="1321">
        <v>0</v>
      </c>
      <c r="I517" s="1322">
        <v>0</v>
      </c>
      <c r="J517" s="1136"/>
      <c r="K517" s="1137"/>
      <c r="L517" s="1121"/>
      <c r="M517" s="1121"/>
      <c r="N517" s="1121"/>
      <c r="O517" s="1121"/>
      <c r="P517" s="1121"/>
      <c r="Q517" s="1121"/>
      <c r="R517" s="1121"/>
      <c r="S517" s="1121"/>
      <c r="T517" s="1121"/>
      <c r="U517" s="1121"/>
      <c r="V517" s="1121"/>
      <c r="W517" s="1121"/>
      <c r="X517" s="1121"/>
      <c r="Y517" s="1121"/>
      <c r="Z517" s="1121"/>
      <c r="AA517" s="1121"/>
      <c r="AB517" s="1121"/>
      <c r="AC517" s="1121"/>
      <c r="AD517" s="1121"/>
      <c r="AE517" s="1121"/>
      <c r="AF517" s="1121"/>
      <c r="AG517" s="1121"/>
      <c r="AH517" s="1121"/>
      <c r="AI517" s="1121"/>
      <c r="AJ517" s="1121"/>
    </row>
    <row r="518" spans="1:36" s="1122" customFormat="1">
      <c r="A518" s="1298" t="s">
        <v>120</v>
      </c>
      <c r="B518" s="1299"/>
      <c r="C518" s="1320">
        <v>654000000</v>
      </c>
      <c r="D518" s="1320">
        <v>654000000</v>
      </c>
      <c r="E518" s="1320">
        <v>674000000</v>
      </c>
      <c r="F518" s="1320">
        <v>458000000</v>
      </c>
      <c r="G518" s="1320">
        <v>327000000</v>
      </c>
      <c r="H518" s="1321">
        <v>500000000</v>
      </c>
      <c r="I518" s="1322">
        <v>185000000</v>
      </c>
      <c r="J518" s="1136"/>
      <c r="K518" s="1137"/>
      <c r="L518" s="1121"/>
      <c r="M518" s="1121"/>
      <c r="N518" s="1121"/>
      <c r="O518" s="1121"/>
      <c r="P518" s="1121"/>
      <c r="Q518" s="1121"/>
      <c r="R518" s="1121"/>
      <c r="S518" s="1121"/>
      <c r="T518" s="1121"/>
      <c r="U518" s="1121"/>
      <c r="V518" s="1121"/>
      <c r="W518" s="1121"/>
      <c r="X518" s="1121"/>
      <c r="Y518" s="1121"/>
      <c r="Z518" s="1121"/>
      <c r="AA518" s="1121"/>
      <c r="AB518" s="1121"/>
      <c r="AC518" s="1121"/>
      <c r="AD518" s="1121"/>
      <c r="AE518" s="1121"/>
      <c r="AF518" s="1121"/>
      <c r="AG518" s="1121"/>
      <c r="AH518" s="1121"/>
      <c r="AI518" s="1121"/>
      <c r="AJ518" s="1121"/>
    </row>
    <row r="519" spans="1:36" s="1122" customFormat="1">
      <c r="A519" s="1143" t="s">
        <v>740</v>
      </c>
      <c r="B519" s="1127"/>
      <c r="C519" s="1321" t="s">
        <v>664</v>
      </c>
      <c r="D519" s="1321" t="s">
        <v>664</v>
      </c>
      <c r="E519" s="1321" t="s">
        <v>664</v>
      </c>
      <c r="F519" s="1321" t="s">
        <v>664</v>
      </c>
      <c r="G519" s="1321" t="s">
        <v>664</v>
      </c>
      <c r="H519" s="1321" t="s">
        <v>664</v>
      </c>
      <c r="I519" s="1326" t="s">
        <v>421</v>
      </c>
      <c r="J519" s="1138"/>
      <c r="K519" s="1133"/>
      <c r="L519" s="1121"/>
      <c r="M519" s="1121"/>
      <c r="N519" s="1121"/>
      <c r="O519" s="1121"/>
      <c r="P519" s="1121"/>
      <c r="Q519" s="1121"/>
      <c r="R519" s="1121"/>
      <c r="S519" s="1121"/>
      <c r="T519" s="1121"/>
      <c r="U519" s="1121"/>
      <c r="V519" s="1121"/>
      <c r="W519" s="1121"/>
      <c r="X519" s="1121"/>
      <c r="Y519" s="1121"/>
      <c r="Z519" s="1121"/>
      <c r="AA519" s="1121"/>
      <c r="AB519" s="1121"/>
      <c r="AC519" s="1121"/>
      <c r="AD519" s="1121"/>
      <c r="AE519" s="1121"/>
      <c r="AF519" s="1121"/>
      <c r="AG519" s="1121"/>
      <c r="AH519" s="1121"/>
      <c r="AI519" s="1121"/>
      <c r="AJ519" s="1121"/>
    </row>
    <row r="520" spans="1:36" s="1122" customFormat="1">
      <c r="A520" s="1143" t="s">
        <v>665</v>
      </c>
      <c r="B520" s="1127"/>
      <c r="C520" s="1327" t="s">
        <v>668</v>
      </c>
      <c r="D520" s="1327" t="s">
        <v>668</v>
      </c>
      <c r="E520" s="1327" t="s">
        <v>668</v>
      </c>
      <c r="F520" s="1327" t="s">
        <v>668</v>
      </c>
      <c r="G520" s="1327" t="s">
        <v>668</v>
      </c>
      <c r="H520" s="1327" t="s">
        <v>666</v>
      </c>
      <c r="I520" s="1328" t="s">
        <v>668</v>
      </c>
      <c r="J520" s="1150"/>
      <c r="K520" s="1150"/>
      <c r="L520" s="1121"/>
      <c r="M520" s="1121"/>
      <c r="N520" s="1121"/>
      <c r="O520" s="1121"/>
      <c r="P520" s="1121"/>
      <c r="Q520" s="1121"/>
      <c r="R520" s="1121"/>
      <c r="S520" s="1121"/>
      <c r="T520" s="1121"/>
      <c r="U520" s="1121"/>
      <c r="V520" s="1121"/>
      <c r="W520" s="1121"/>
      <c r="X520" s="1121"/>
      <c r="Y520" s="1121"/>
      <c r="Z520" s="1121"/>
      <c r="AA520" s="1121"/>
      <c r="AB520" s="1121"/>
      <c r="AC520" s="1121"/>
      <c r="AD520" s="1121"/>
      <c r="AE520" s="1121"/>
      <c r="AF520" s="1121"/>
      <c r="AG520" s="1121"/>
      <c r="AH520" s="1121"/>
      <c r="AI520" s="1121"/>
      <c r="AJ520" s="1121"/>
    </row>
    <row r="521" spans="1:36" s="1122" customFormat="1">
      <c r="A521" s="1143" t="s">
        <v>669</v>
      </c>
      <c r="B521" s="1127"/>
      <c r="C521" s="1329">
        <v>5.0562999999999997E-3</v>
      </c>
      <c r="D521" s="1329">
        <v>5.0562999999999997E-3</v>
      </c>
      <c r="E521" s="1329">
        <v>5.0562999999999997E-3</v>
      </c>
      <c r="F521" s="1329">
        <v>5.0562999999999997E-3</v>
      </c>
      <c r="G521" s="1329">
        <v>5.0562999999999997E-3</v>
      </c>
      <c r="H521" s="1329">
        <v>2.7409999999999999E-3</v>
      </c>
      <c r="I521" s="1330">
        <v>5.0562999999999997E-3</v>
      </c>
      <c r="J521" s="1152"/>
      <c r="K521" s="1152"/>
      <c r="L521" s="1121"/>
      <c r="M521" s="1121"/>
      <c r="N521" s="1121"/>
      <c r="O521" s="1121"/>
      <c r="P521" s="1121"/>
      <c r="Q521" s="1121"/>
      <c r="R521" s="1121"/>
      <c r="S521" s="1121"/>
      <c r="T521" s="1121"/>
      <c r="U521" s="1121"/>
      <c r="V521" s="1121"/>
      <c r="W521" s="1121"/>
      <c r="X521" s="1121"/>
      <c r="Y521" s="1121"/>
      <c r="Z521" s="1121"/>
      <c r="AA521" s="1121"/>
      <c r="AB521" s="1121"/>
      <c r="AC521" s="1121"/>
      <c r="AD521" s="1121"/>
      <c r="AE521" s="1121"/>
      <c r="AF521" s="1121"/>
      <c r="AG521" s="1121"/>
      <c r="AH521" s="1121"/>
      <c r="AI521" s="1121"/>
      <c r="AJ521" s="1121"/>
    </row>
    <row r="522" spans="1:36" s="1122" customFormat="1">
      <c r="A522" s="1143" t="s">
        <v>670</v>
      </c>
      <c r="B522" s="1127"/>
      <c r="C522" s="1329">
        <v>1.2E-2</v>
      </c>
      <c r="D522" s="1329">
        <v>1.2E-2</v>
      </c>
      <c r="E522" s="1329">
        <v>1.55E-2</v>
      </c>
      <c r="F522" s="1329">
        <v>1.2E-2</v>
      </c>
      <c r="G522" s="1329">
        <v>1.2E-2</v>
      </c>
      <c r="H522" s="1329">
        <v>1.2E-2</v>
      </c>
      <c r="I522" s="1330">
        <v>7.0000000000000001E-3</v>
      </c>
      <c r="J522" s="1152"/>
      <c r="K522" s="1152"/>
      <c r="L522" s="1121"/>
      <c r="M522" s="1121"/>
      <c r="N522" s="1121"/>
      <c r="O522" s="1121"/>
      <c r="P522" s="1121"/>
      <c r="Q522" s="1121"/>
      <c r="R522" s="1121"/>
      <c r="S522" s="1121"/>
      <c r="T522" s="1121"/>
      <c r="U522" s="1121"/>
      <c r="V522" s="1121"/>
      <c r="W522" s="1121"/>
      <c r="X522" s="1121"/>
      <c r="Y522" s="1121"/>
      <c r="Z522" s="1121"/>
      <c r="AA522" s="1121"/>
      <c r="AB522" s="1121"/>
      <c r="AC522" s="1121"/>
      <c r="AD522" s="1121"/>
      <c r="AE522" s="1121"/>
      <c r="AF522" s="1121"/>
      <c r="AG522" s="1121"/>
      <c r="AH522" s="1121"/>
      <c r="AI522" s="1121"/>
      <c r="AJ522" s="1121"/>
    </row>
    <row r="523" spans="1:36" s="1122" customFormat="1">
      <c r="A523" s="1143" t="s">
        <v>918</v>
      </c>
      <c r="B523" s="1127"/>
      <c r="C523" s="1320">
        <v>0</v>
      </c>
      <c r="D523" s="1320">
        <v>0</v>
      </c>
      <c r="E523" s="1320">
        <v>0</v>
      </c>
      <c r="F523" s="1320">
        <v>0</v>
      </c>
      <c r="G523" s="1320">
        <v>0</v>
      </c>
      <c r="H523" s="1321">
        <v>0</v>
      </c>
      <c r="I523" s="1322">
        <v>0</v>
      </c>
      <c r="J523" s="1136"/>
      <c r="K523" s="1137"/>
      <c r="L523" s="1121"/>
      <c r="M523" s="1121"/>
      <c r="N523" s="1121"/>
      <c r="O523" s="1121"/>
      <c r="P523" s="1121"/>
      <c r="Q523" s="1121"/>
      <c r="R523" s="1121"/>
      <c r="S523" s="1121"/>
      <c r="T523" s="1121"/>
      <c r="U523" s="1121"/>
      <c r="V523" s="1121"/>
      <c r="W523" s="1121"/>
      <c r="X523" s="1121"/>
      <c r="Y523" s="1121"/>
      <c r="Z523" s="1121"/>
      <c r="AA523" s="1121"/>
      <c r="AB523" s="1121"/>
      <c r="AC523" s="1121"/>
      <c r="AD523" s="1121"/>
      <c r="AE523" s="1121"/>
      <c r="AF523" s="1121"/>
      <c r="AG523" s="1121"/>
      <c r="AH523" s="1121"/>
      <c r="AI523" s="1121"/>
      <c r="AJ523" s="1121"/>
    </row>
    <row r="524" spans="1:36" s="1122" customFormat="1">
      <c r="A524" s="1154" t="s">
        <v>916</v>
      </c>
      <c r="B524" s="1127"/>
      <c r="C524" s="1320">
        <v>0</v>
      </c>
      <c r="D524" s="1320">
        <v>0</v>
      </c>
      <c r="E524" s="1320">
        <v>0</v>
      </c>
      <c r="F524" s="1320">
        <v>0</v>
      </c>
      <c r="G524" s="1320">
        <v>0</v>
      </c>
      <c r="H524" s="1321">
        <v>0</v>
      </c>
      <c r="I524" s="1322">
        <v>0</v>
      </c>
      <c r="J524" s="1136"/>
      <c r="K524" s="1137"/>
      <c r="L524" s="1121"/>
      <c r="M524" s="1121"/>
      <c r="N524" s="1121"/>
      <c r="O524" s="1121"/>
      <c r="P524" s="1121"/>
      <c r="Q524" s="1121"/>
      <c r="R524" s="1121"/>
      <c r="S524" s="1121"/>
      <c r="T524" s="1121"/>
      <c r="U524" s="1121"/>
      <c r="V524" s="1121"/>
      <c r="W524" s="1121"/>
      <c r="X524" s="1121"/>
      <c r="Y524" s="1121"/>
      <c r="Z524" s="1121"/>
      <c r="AA524" s="1121"/>
      <c r="AB524" s="1121"/>
      <c r="AC524" s="1121"/>
      <c r="AD524" s="1121"/>
      <c r="AE524" s="1121"/>
      <c r="AF524" s="1121"/>
      <c r="AG524" s="1121"/>
      <c r="AH524" s="1121"/>
      <c r="AI524" s="1121"/>
      <c r="AJ524" s="1121"/>
    </row>
    <row r="525" spans="1:36" s="1122" customFormat="1">
      <c r="A525" s="1143" t="s">
        <v>671</v>
      </c>
      <c r="B525" s="1127"/>
      <c r="C525" s="1320">
        <v>0</v>
      </c>
      <c r="D525" s="1320">
        <v>0</v>
      </c>
      <c r="E525" s="1320">
        <v>0</v>
      </c>
      <c r="F525" s="1320">
        <v>0</v>
      </c>
      <c r="G525" s="1320">
        <v>0</v>
      </c>
      <c r="H525" s="1321">
        <v>0</v>
      </c>
      <c r="I525" s="1322">
        <v>0</v>
      </c>
      <c r="J525" s="1136"/>
      <c r="K525" s="1137"/>
      <c r="L525" s="1121"/>
      <c r="M525" s="1121"/>
      <c r="N525" s="1121"/>
      <c r="O525" s="1121"/>
      <c r="P525" s="1121"/>
      <c r="Q525" s="1121"/>
      <c r="R525" s="1121"/>
      <c r="S525" s="1121"/>
      <c r="T525" s="1121"/>
      <c r="U525" s="1121"/>
      <c r="V525" s="1121"/>
      <c r="W525" s="1121"/>
      <c r="X525" s="1121"/>
      <c r="Y525" s="1121"/>
      <c r="Z525" s="1121"/>
      <c r="AA525" s="1121"/>
      <c r="AB525" s="1121"/>
      <c r="AC525" s="1121"/>
      <c r="AD525" s="1121"/>
      <c r="AE525" s="1121"/>
      <c r="AF525" s="1121"/>
      <c r="AG525" s="1121"/>
      <c r="AH525" s="1121"/>
      <c r="AI525" s="1121"/>
      <c r="AJ525" s="1121"/>
    </row>
    <row r="526" spans="1:36" s="1122" customFormat="1">
      <c r="A526" s="1143" t="s">
        <v>691</v>
      </c>
      <c r="B526" s="1127"/>
      <c r="C526" s="1320">
        <v>0</v>
      </c>
      <c r="D526" s="1320">
        <v>0</v>
      </c>
      <c r="E526" s="1320">
        <v>0</v>
      </c>
      <c r="F526" s="1320">
        <v>0</v>
      </c>
      <c r="G526" s="1320">
        <v>0</v>
      </c>
      <c r="H526" s="1321">
        <v>0</v>
      </c>
      <c r="I526" s="1322">
        <v>0</v>
      </c>
      <c r="J526" s="1136"/>
      <c r="K526" s="1137"/>
      <c r="L526" s="1121"/>
      <c r="M526" s="1121"/>
      <c r="N526" s="1121"/>
      <c r="O526" s="1121"/>
      <c r="P526" s="1121"/>
      <c r="Q526" s="1121"/>
      <c r="R526" s="1121"/>
      <c r="S526" s="1121"/>
      <c r="T526" s="1121"/>
      <c r="U526" s="1121"/>
      <c r="V526" s="1121"/>
      <c r="W526" s="1121"/>
      <c r="X526" s="1121"/>
      <c r="Y526" s="1121"/>
      <c r="Z526" s="1121"/>
      <c r="AA526" s="1121"/>
      <c r="AB526" s="1121"/>
      <c r="AC526" s="1121"/>
      <c r="AD526" s="1121"/>
      <c r="AE526" s="1121"/>
      <c r="AF526" s="1121"/>
      <c r="AG526" s="1121"/>
      <c r="AH526" s="1121"/>
      <c r="AI526" s="1121"/>
      <c r="AJ526" s="1121"/>
    </row>
    <row r="527" spans="1:36" s="1122" customFormat="1">
      <c r="A527" s="1143" t="s">
        <v>672</v>
      </c>
      <c r="B527" s="1127"/>
      <c r="C527" s="1313">
        <v>3.18</v>
      </c>
      <c r="D527" s="1313">
        <v>3.68</v>
      </c>
      <c r="E527" s="1313">
        <v>4.6900000000000004</v>
      </c>
      <c r="F527" s="1313">
        <v>4.6900000000000004</v>
      </c>
      <c r="G527" s="1313">
        <v>4.18</v>
      </c>
      <c r="H527" s="1313">
        <v>2.95</v>
      </c>
      <c r="I527" s="1314">
        <v>4.6900000000000004</v>
      </c>
      <c r="J527" s="1131"/>
      <c r="K527" s="1131"/>
      <c r="L527" s="1121"/>
      <c r="M527" s="1121"/>
      <c r="N527" s="1121"/>
      <c r="O527" s="1121"/>
      <c r="P527" s="1121"/>
      <c r="Q527" s="1121"/>
      <c r="R527" s="1121"/>
      <c r="S527" s="1121"/>
      <c r="T527" s="1121"/>
      <c r="U527" s="1121"/>
      <c r="V527" s="1121"/>
      <c r="W527" s="1121"/>
      <c r="X527" s="1121"/>
      <c r="Y527" s="1121"/>
      <c r="Z527" s="1121"/>
      <c r="AA527" s="1121"/>
      <c r="AB527" s="1121"/>
      <c r="AC527" s="1121"/>
      <c r="AD527" s="1121"/>
      <c r="AE527" s="1121"/>
      <c r="AF527" s="1121"/>
      <c r="AG527" s="1121"/>
      <c r="AH527" s="1121"/>
      <c r="AI527" s="1121"/>
      <c r="AJ527" s="1121"/>
    </row>
    <row r="528" spans="1:36" s="1122" customFormat="1">
      <c r="A528" s="1143" t="s">
        <v>673</v>
      </c>
      <c r="B528" s="1127"/>
      <c r="C528" s="1318">
        <v>42236</v>
      </c>
      <c r="D528" s="1318">
        <v>42420</v>
      </c>
      <c r="E528" s="1318">
        <v>42786</v>
      </c>
      <c r="F528" s="1318">
        <v>42786</v>
      </c>
      <c r="G528" s="1318">
        <v>42602</v>
      </c>
      <c r="H528" s="1318">
        <v>42236</v>
      </c>
      <c r="I528" s="1319">
        <v>42967</v>
      </c>
      <c r="J528" s="1145"/>
      <c r="K528" s="1139"/>
      <c r="L528" s="1121"/>
      <c r="M528" s="1175"/>
      <c r="N528" s="1175"/>
      <c r="O528" s="1175"/>
      <c r="P528" s="1176"/>
      <c r="Q528" s="1175"/>
      <c r="R528" s="1175"/>
      <c r="S528" s="1175"/>
      <c r="T528" s="1175"/>
      <c r="U528" s="1175"/>
      <c r="V528" s="1175"/>
      <c r="W528" s="1175"/>
      <c r="X528" s="1175"/>
      <c r="Y528" s="1175"/>
      <c r="Z528" s="1176"/>
      <c r="AA528" s="1175"/>
      <c r="AB528" s="1175"/>
      <c r="AC528" s="1175"/>
      <c r="AD528" s="1175"/>
      <c r="AE528" s="1175"/>
      <c r="AF528" s="1175"/>
      <c r="AG528" s="1175"/>
      <c r="AH528" s="1175"/>
      <c r="AI528" s="1175"/>
      <c r="AJ528" s="1175"/>
    </row>
    <row r="529" spans="1:40" s="1122" customFormat="1">
      <c r="A529" s="1143" t="s">
        <v>674</v>
      </c>
      <c r="B529" s="1127"/>
      <c r="C529" s="1331">
        <v>42236</v>
      </c>
      <c r="D529" s="1318">
        <v>42420</v>
      </c>
      <c r="E529" s="1318">
        <v>42786</v>
      </c>
      <c r="F529" s="1318">
        <v>42786</v>
      </c>
      <c r="G529" s="1318">
        <v>42602</v>
      </c>
      <c r="H529" s="1318">
        <v>42236</v>
      </c>
      <c r="I529" s="1332">
        <v>42786</v>
      </c>
      <c r="J529" s="1139"/>
      <c r="K529" s="1139"/>
      <c r="L529" s="1121"/>
      <c r="M529" s="1177"/>
      <c r="N529" s="1177"/>
      <c r="O529" s="1177"/>
      <c r="P529" s="1177"/>
      <c r="Q529" s="1177"/>
      <c r="R529" s="1177"/>
      <c r="S529" s="1177"/>
      <c r="T529" s="1177"/>
      <c r="U529" s="1177"/>
      <c r="V529" s="1177"/>
      <c r="W529" s="1177"/>
      <c r="X529" s="1177"/>
      <c r="Y529" s="1177"/>
      <c r="Z529" s="1177"/>
      <c r="AA529" s="1177"/>
      <c r="AB529" s="1177"/>
      <c r="AC529" s="1177"/>
      <c r="AD529" s="1177"/>
      <c r="AE529" s="1177"/>
      <c r="AF529" s="1177"/>
      <c r="AG529" s="1177"/>
      <c r="AH529" s="1177"/>
      <c r="AI529" s="1177"/>
      <c r="AJ529" s="1177"/>
      <c r="AK529" s="1178"/>
      <c r="AL529" s="1178"/>
      <c r="AM529" s="1178"/>
      <c r="AN529" s="1178"/>
    </row>
    <row r="530" spans="1:40" s="1122" customFormat="1">
      <c r="A530" s="1143" t="s">
        <v>675</v>
      </c>
      <c r="B530" s="1127" t="s">
        <v>622</v>
      </c>
      <c r="C530" s="1318">
        <v>57304</v>
      </c>
      <c r="D530" s="1331">
        <v>57304</v>
      </c>
      <c r="E530" s="1331">
        <v>57304</v>
      </c>
      <c r="F530" s="1331">
        <v>57304</v>
      </c>
      <c r="G530" s="1331">
        <v>57304</v>
      </c>
      <c r="H530" s="1331">
        <v>57304</v>
      </c>
      <c r="I530" s="1332">
        <v>57304</v>
      </c>
      <c r="J530" s="1139"/>
      <c r="K530" s="1139"/>
      <c r="L530" s="1121"/>
      <c r="M530" s="1179"/>
      <c r="N530" s="1179"/>
      <c r="O530" s="1179"/>
      <c r="P530" s="1179"/>
      <c r="Q530" s="1179"/>
      <c r="R530" s="1179"/>
      <c r="S530" s="1179"/>
      <c r="T530" s="1179"/>
      <c r="U530" s="1179"/>
      <c r="V530" s="1179"/>
      <c r="W530" s="1179"/>
      <c r="X530" s="1179"/>
      <c r="Y530" s="1179"/>
      <c r="Z530" s="1179"/>
      <c r="AA530" s="1179"/>
      <c r="AB530" s="1179"/>
      <c r="AC530" s="1179"/>
      <c r="AD530" s="1179"/>
      <c r="AE530" s="1179"/>
      <c r="AF530" s="1179"/>
      <c r="AG530" s="1179"/>
      <c r="AH530" s="1179"/>
      <c r="AI530" s="1179"/>
      <c r="AJ530" s="1179"/>
      <c r="AK530" s="1178"/>
      <c r="AL530" s="1178"/>
      <c r="AM530" s="1178"/>
      <c r="AN530" s="1178"/>
    </row>
    <row r="531" spans="1:40" s="1122" customFormat="1">
      <c r="A531" s="1180" t="s">
        <v>203</v>
      </c>
      <c r="B531" s="1127"/>
      <c r="C531" s="1331" t="s">
        <v>544</v>
      </c>
      <c r="D531" s="1331" t="s">
        <v>544</v>
      </c>
      <c r="E531" s="1331" t="s">
        <v>544</v>
      </c>
      <c r="F531" s="1331" t="s">
        <v>544</v>
      </c>
      <c r="G531" s="1331" t="s">
        <v>544</v>
      </c>
      <c r="H531" s="1331" t="s">
        <v>544</v>
      </c>
      <c r="I531" s="1332" t="s">
        <v>544</v>
      </c>
      <c r="J531" s="1139"/>
      <c r="K531" s="1139"/>
      <c r="L531" s="1139"/>
      <c r="M531" s="1121"/>
      <c r="N531" s="1121"/>
      <c r="O531" s="1121"/>
      <c r="P531" s="1121"/>
      <c r="Q531" s="1121"/>
      <c r="R531" s="1121"/>
      <c r="S531" s="1121"/>
      <c r="T531" s="1121"/>
      <c r="U531" s="1121"/>
      <c r="V531" s="1121"/>
      <c r="W531" s="1121"/>
      <c r="X531" s="1121"/>
      <c r="Y531" s="1121"/>
      <c r="Z531" s="1121"/>
      <c r="AA531" s="1121"/>
      <c r="AB531" s="1121"/>
      <c r="AC531" s="1121"/>
      <c r="AD531" s="1121"/>
      <c r="AE531" s="1121"/>
      <c r="AF531" s="1121"/>
      <c r="AG531" s="1121"/>
      <c r="AH531" s="1121"/>
      <c r="AI531" s="1121"/>
      <c r="AJ531" s="1121"/>
    </row>
    <row r="532" spans="1:40" s="1122" customFormat="1">
      <c r="A532" s="1180"/>
      <c r="B532" s="1127"/>
      <c r="C532" s="1331"/>
      <c r="D532" s="1331"/>
      <c r="E532" s="1331"/>
      <c r="F532" s="1331"/>
      <c r="G532" s="1331"/>
      <c r="H532" s="1331"/>
      <c r="I532" s="1333"/>
      <c r="J532" s="1139"/>
      <c r="K532" s="1139"/>
      <c r="L532" s="1139"/>
      <c r="M532" s="1121"/>
      <c r="N532" s="1121"/>
      <c r="O532" s="1121"/>
      <c r="P532" s="1121"/>
      <c r="Q532" s="1121"/>
      <c r="R532" s="1121"/>
      <c r="S532" s="1121"/>
      <c r="T532" s="1121"/>
      <c r="U532" s="1121"/>
      <c r="V532" s="1121"/>
      <c r="W532" s="1121"/>
      <c r="X532" s="1121"/>
      <c r="Y532" s="1121"/>
      <c r="Z532" s="1121"/>
      <c r="AA532" s="1121"/>
      <c r="AB532" s="1121"/>
      <c r="AC532" s="1121"/>
      <c r="AD532" s="1121"/>
      <c r="AE532" s="1121"/>
      <c r="AF532" s="1121"/>
      <c r="AG532" s="1121"/>
      <c r="AH532" s="1121"/>
      <c r="AI532" s="1121"/>
      <c r="AJ532" s="1121"/>
    </row>
    <row r="533" spans="1:40" s="1122" customFormat="1">
      <c r="A533" s="1156" t="s">
        <v>355</v>
      </c>
      <c r="B533" s="1141"/>
      <c r="C533" s="1334"/>
      <c r="D533" s="1335"/>
      <c r="E533" s="1334"/>
      <c r="F533" s="1334"/>
      <c r="G533" s="1334"/>
      <c r="H533" s="1334"/>
      <c r="I533" s="1336"/>
      <c r="J533" s="1131"/>
      <c r="K533" s="1133"/>
      <c r="L533" s="1121"/>
      <c r="M533" s="1121"/>
      <c r="N533" s="1121"/>
      <c r="O533" s="1121"/>
      <c r="P533" s="1121"/>
      <c r="Q533" s="1121"/>
      <c r="R533" s="1121"/>
      <c r="S533" s="1121"/>
      <c r="T533" s="1121"/>
      <c r="U533" s="1121"/>
      <c r="V533" s="1121"/>
      <c r="W533" s="1121"/>
      <c r="X533" s="1121"/>
      <c r="Y533" s="1121"/>
      <c r="Z533" s="1121"/>
      <c r="AA533" s="1121"/>
      <c r="AB533" s="1121"/>
      <c r="AC533" s="1121"/>
      <c r="AD533" s="1121"/>
      <c r="AE533" s="1121"/>
      <c r="AF533" s="1121"/>
      <c r="AG533" s="1121"/>
      <c r="AH533" s="1121"/>
      <c r="AI533" s="1121"/>
      <c r="AJ533" s="1121"/>
    </row>
    <row r="534" spans="1:40" s="1122" customFormat="1">
      <c r="A534" s="1158" t="s">
        <v>1058</v>
      </c>
      <c r="B534" s="1127"/>
      <c r="C534" s="1312"/>
      <c r="D534" s="1313"/>
      <c r="E534" s="1312"/>
      <c r="F534" s="1312"/>
      <c r="G534" s="1312"/>
      <c r="H534" s="1312"/>
      <c r="I534" s="1337"/>
      <c r="J534" s="1131"/>
      <c r="K534" s="1133"/>
      <c r="L534" s="1121"/>
      <c r="M534" s="1121"/>
      <c r="N534" s="1121"/>
      <c r="O534" s="1121"/>
      <c r="P534" s="1121"/>
      <c r="Q534" s="1121"/>
      <c r="R534" s="1121"/>
      <c r="S534" s="1121"/>
      <c r="T534" s="1121"/>
      <c r="U534" s="1121"/>
      <c r="V534" s="1121"/>
      <c r="W534" s="1121"/>
      <c r="X534" s="1121"/>
      <c r="Y534" s="1121"/>
      <c r="Z534" s="1121"/>
      <c r="AA534" s="1121"/>
      <c r="AB534" s="1121"/>
      <c r="AC534" s="1121"/>
      <c r="AD534" s="1121"/>
      <c r="AE534" s="1121"/>
      <c r="AF534" s="1121"/>
      <c r="AG534" s="1121"/>
      <c r="AH534" s="1121"/>
      <c r="AI534" s="1121"/>
      <c r="AJ534" s="1121"/>
    </row>
    <row r="535" spans="1:40" s="1122" customFormat="1">
      <c r="A535" s="1158"/>
      <c r="B535" s="1127"/>
      <c r="C535" s="1312"/>
      <c r="D535" s="1313"/>
      <c r="E535" s="1313"/>
      <c r="F535" s="1313"/>
      <c r="G535" s="1313"/>
      <c r="H535" s="1313"/>
      <c r="I535" s="1337"/>
      <c r="J535" s="1131"/>
      <c r="K535" s="1133"/>
      <c r="L535" s="1121"/>
      <c r="M535" s="1121"/>
      <c r="N535" s="1121"/>
      <c r="O535" s="1121"/>
      <c r="P535" s="1121"/>
      <c r="Q535" s="1121"/>
      <c r="R535" s="1121"/>
      <c r="S535" s="1121"/>
      <c r="T535" s="1121"/>
      <c r="U535" s="1121"/>
      <c r="V535" s="1121"/>
      <c r="W535" s="1121"/>
      <c r="X535" s="1121"/>
      <c r="Y535" s="1121"/>
      <c r="Z535" s="1121"/>
      <c r="AA535" s="1121"/>
      <c r="AB535" s="1121"/>
      <c r="AC535" s="1121"/>
      <c r="AD535" s="1121"/>
      <c r="AE535" s="1121"/>
      <c r="AF535" s="1121"/>
      <c r="AG535" s="1121"/>
      <c r="AH535" s="1121"/>
      <c r="AI535" s="1121"/>
      <c r="AJ535" s="1121"/>
    </row>
    <row r="536" spans="1:40" s="1122" customFormat="1">
      <c r="A536" s="1160" t="s">
        <v>199</v>
      </c>
      <c r="B536" s="1127"/>
      <c r="C536" s="1312"/>
      <c r="D536" s="1313"/>
      <c r="E536" s="1313"/>
      <c r="F536" s="1312"/>
      <c r="G536" s="1312"/>
      <c r="H536" s="1312"/>
      <c r="I536" s="1337"/>
      <c r="J536" s="1131"/>
      <c r="K536" s="1133"/>
      <c r="L536" s="1121"/>
      <c r="M536" s="1121"/>
      <c r="N536" s="1121"/>
      <c r="O536" s="1121"/>
      <c r="P536" s="1121"/>
      <c r="Q536" s="1121"/>
      <c r="R536" s="1121"/>
      <c r="S536" s="1121"/>
      <c r="T536" s="1121"/>
      <c r="U536" s="1121"/>
      <c r="V536" s="1121"/>
      <c r="W536" s="1121"/>
      <c r="X536" s="1121"/>
      <c r="Y536" s="1121"/>
      <c r="Z536" s="1121"/>
      <c r="AA536" s="1121"/>
      <c r="AB536" s="1121"/>
      <c r="AC536" s="1121"/>
      <c r="AD536" s="1121"/>
      <c r="AE536" s="1121"/>
      <c r="AF536" s="1121"/>
      <c r="AG536" s="1121"/>
      <c r="AH536" s="1121"/>
      <c r="AI536" s="1121"/>
      <c r="AJ536" s="1121"/>
    </row>
    <row r="537" spans="1:40" s="1122" customFormat="1">
      <c r="A537" s="1154" t="s">
        <v>356</v>
      </c>
      <c r="B537" s="1127"/>
      <c r="C537" s="1137" t="s">
        <v>605</v>
      </c>
      <c r="D537" s="1137" t="s">
        <v>605</v>
      </c>
      <c r="E537" s="1137" t="s">
        <v>605</v>
      </c>
      <c r="F537" s="1137" t="s">
        <v>605</v>
      </c>
      <c r="G537" s="1137" t="s">
        <v>605</v>
      </c>
      <c r="H537" s="1313" t="s">
        <v>172</v>
      </c>
      <c r="I537" s="1147" t="s">
        <v>605</v>
      </c>
      <c r="J537" s="1131"/>
      <c r="K537" s="1133"/>
      <c r="L537" s="1121"/>
      <c r="M537" s="1121"/>
      <c r="N537" s="1121"/>
      <c r="O537" s="1121"/>
      <c r="P537" s="1121"/>
      <c r="Q537" s="1121"/>
      <c r="R537" s="1121"/>
      <c r="S537" s="1121"/>
      <c r="T537" s="1121"/>
      <c r="U537" s="1121"/>
      <c r="V537" s="1121"/>
      <c r="W537" s="1121"/>
      <c r="X537" s="1121"/>
      <c r="Y537" s="1121"/>
      <c r="Z537" s="1121"/>
      <c r="AA537" s="1121"/>
      <c r="AB537" s="1121"/>
      <c r="AC537" s="1121"/>
      <c r="AD537" s="1121"/>
      <c r="AE537" s="1121"/>
      <c r="AF537" s="1121"/>
      <c r="AG537" s="1121"/>
      <c r="AH537" s="1121"/>
      <c r="AI537" s="1121"/>
      <c r="AJ537" s="1121"/>
    </row>
    <row r="538" spans="1:40" s="1122" customFormat="1">
      <c r="A538" s="1143" t="s">
        <v>360</v>
      </c>
      <c r="B538" s="1127"/>
      <c r="C538" s="1137" t="s">
        <v>605</v>
      </c>
      <c r="D538" s="1137" t="s">
        <v>605</v>
      </c>
      <c r="E538" s="1137" t="s">
        <v>605</v>
      </c>
      <c r="F538" s="1137" t="s">
        <v>605</v>
      </c>
      <c r="G538" s="1137" t="s">
        <v>605</v>
      </c>
      <c r="H538" s="1320">
        <v>321998969.60000002</v>
      </c>
      <c r="I538" s="1147" t="s">
        <v>605</v>
      </c>
      <c r="J538" s="1131"/>
      <c r="K538" s="1133"/>
      <c r="L538" s="1121"/>
      <c r="M538" s="1121"/>
      <c r="N538" s="1121"/>
      <c r="O538" s="1121"/>
      <c r="P538" s="1121"/>
      <c r="Q538" s="1121"/>
      <c r="R538" s="1121"/>
      <c r="S538" s="1121"/>
      <c r="T538" s="1121"/>
      <c r="U538" s="1121"/>
      <c r="V538" s="1121"/>
      <c r="W538" s="1121"/>
      <c r="X538" s="1121"/>
      <c r="Y538" s="1121"/>
      <c r="Z538" s="1121"/>
      <c r="AA538" s="1121"/>
      <c r="AB538" s="1121"/>
      <c r="AC538" s="1121"/>
      <c r="AD538" s="1121"/>
      <c r="AE538" s="1121"/>
      <c r="AF538" s="1121"/>
      <c r="AG538" s="1121"/>
      <c r="AH538" s="1121"/>
      <c r="AI538" s="1121"/>
      <c r="AJ538" s="1121"/>
    </row>
    <row r="539" spans="1:40" s="1122" customFormat="1">
      <c r="A539" s="1143" t="s">
        <v>917</v>
      </c>
      <c r="B539" s="1127"/>
      <c r="C539" s="1150" t="s">
        <v>605</v>
      </c>
      <c r="D539" s="1150" t="s">
        <v>605</v>
      </c>
      <c r="E539" s="1150" t="s">
        <v>605</v>
      </c>
      <c r="F539" s="1150" t="s">
        <v>605</v>
      </c>
      <c r="G539" s="1150" t="s">
        <v>605</v>
      </c>
      <c r="H539" s="1320">
        <v>0</v>
      </c>
      <c r="I539" s="1151" t="s">
        <v>605</v>
      </c>
      <c r="J539" s="1131"/>
      <c r="K539" s="1133"/>
      <c r="L539" s="1121"/>
      <c r="M539" s="1121"/>
      <c r="N539" s="1121"/>
      <c r="O539" s="1121"/>
      <c r="P539" s="1121"/>
      <c r="Q539" s="1121"/>
      <c r="R539" s="1121"/>
      <c r="S539" s="1121"/>
      <c r="T539" s="1121"/>
      <c r="U539" s="1121"/>
      <c r="V539" s="1121"/>
      <c r="W539" s="1121"/>
      <c r="X539" s="1121"/>
      <c r="Y539" s="1121"/>
      <c r="Z539" s="1121"/>
      <c r="AA539" s="1121"/>
      <c r="AB539" s="1121"/>
      <c r="AC539" s="1121"/>
      <c r="AD539" s="1121"/>
      <c r="AE539" s="1121"/>
      <c r="AF539" s="1121"/>
      <c r="AG539" s="1121"/>
      <c r="AH539" s="1121"/>
      <c r="AI539" s="1121"/>
      <c r="AJ539" s="1121"/>
    </row>
    <row r="540" spans="1:40" s="1122" customFormat="1">
      <c r="A540" s="1154" t="s">
        <v>357</v>
      </c>
      <c r="B540" s="1127"/>
      <c r="C540" s="1152" t="s">
        <v>605</v>
      </c>
      <c r="D540" s="1152" t="s">
        <v>605</v>
      </c>
      <c r="E540" s="1152" t="s">
        <v>605</v>
      </c>
      <c r="F540" s="1152" t="s">
        <v>605</v>
      </c>
      <c r="G540" s="1152" t="s">
        <v>605</v>
      </c>
      <c r="H540" s="1327" t="s">
        <v>668</v>
      </c>
      <c r="I540" s="1153" t="s">
        <v>605</v>
      </c>
      <c r="J540" s="1131"/>
      <c r="K540" s="1133"/>
      <c r="L540" s="1121"/>
      <c r="M540" s="1121"/>
      <c r="N540" s="1121"/>
      <c r="O540" s="1121"/>
      <c r="P540" s="1121"/>
      <c r="Q540" s="1121"/>
      <c r="R540" s="1121"/>
      <c r="S540" s="1121"/>
      <c r="T540" s="1121"/>
      <c r="U540" s="1121"/>
      <c r="V540" s="1121"/>
      <c r="W540" s="1121"/>
      <c r="X540" s="1121"/>
      <c r="Y540" s="1121"/>
      <c r="Z540" s="1121"/>
      <c r="AA540" s="1121"/>
      <c r="AB540" s="1121"/>
      <c r="AC540" s="1121"/>
      <c r="AD540" s="1121"/>
      <c r="AE540" s="1121"/>
      <c r="AF540" s="1121"/>
      <c r="AG540" s="1121"/>
      <c r="AH540" s="1121"/>
      <c r="AI540" s="1121"/>
      <c r="AJ540" s="1121"/>
    </row>
    <row r="541" spans="1:40" s="1122" customFormat="1">
      <c r="A541" s="1161" t="s">
        <v>670</v>
      </c>
      <c r="B541" s="1127"/>
      <c r="C541" s="1137" t="s">
        <v>605</v>
      </c>
      <c r="D541" s="1137" t="s">
        <v>605</v>
      </c>
      <c r="E541" s="1137" t="s">
        <v>605</v>
      </c>
      <c r="F541" s="1137" t="s">
        <v>605</v>
      </c>
      <c r="G541" s="1137" t="s">
        <v>605</v>
      </c>
      <c r="H541" s="1329">
        <v>1.04E-2</v>
      </c>
      <c r="I541" s="1147" t="s">
        <v>605</v>
      </c>
      <c r="J541" s="1131"/>
      <c r="K541" s="1133"/>
      <c r="L541" s="1121"/>
      <c r="M541" s="1121"/>
      <c r="N541" s="1121"/>
      <c r="O541" s="1121"/>
      <c r="P541" s="1121"/>
      <c r="Q541" s="1121"/>
      <c r="R541" s="1121"/>
      <c r="S541" s="1121"/>
      <c r="T541" s="1121"/>
      <c r="U541" s="1121"/>
      <c r="V541" s="1121"/>
      <c r="W541" s="1121"/>
      <c r="X541" s="1121"/>
      <c r="Y541" s="1121"/>
      <c r="Z541" s="1121"/>
      <c r="AA541" s="1121"/>
      <c r="AB541" s="1121"/>
      <c r="AC541" s="1121"/>
      <c r="AD541" s="1121"/>
      <c r="AE541" s="1121"/>
      <c r="AF541" s="1121"/>
      <c r="AG541" s="1121"/>
      <c r="AH541" s="1121"/>
      <c r="AI541" s="1121"/>
      <c r="AJ541" s="1121"/>
    </row>
    <row r="542" spans="1:40" s="1122" customFormat="1">
      <c r="A542" s="1143" t="s">
        <v>916</v>
      </c>
      <c r="B542" s="1127"/>
      <c r="C542" s="1137" t="s">
        <v>605</v>
      </c>
      <c r="D542" s="1137" t="s">
        <v>605</v>
      </c>
      <c r="E542" s="1137" t="s">
        <v>605</v>
      </c>
      <c r="F542" s="1137" t="s">
        <v>605</v>
      </c>
      <c r="G542" s="1137" t="s">
        <v>605</v>
      </c>
      <c r="H542" s="1320">
        <v>0</v>
      </c>
      <c r="I542" s="1147" t="s">
        <v>605</v>
      </c>
      <c r="J542" s="1131"/>
      <c r="K542" s="1133"/>
      <c r="L542" s="1121"/>
      <c r="M542" s="1121"/>
      <c r="N542" s="1121"/>
      <c r="O542" s="1121"/>
      <c r="P542" s="1121"/>
      <c r="Q542" s="1121"/>
      <c r="R542" s="1121"/>
      <c r="S542" s="1121"/>
      <c r="T542" s="1121"/>
      <c r="U542" s="1121"/>
      <c r="V542" s="1121"/>
      <c r="W542" s="1121"/>
      <c r="X542" s="1121"/>
      <c r="Y542" s="1121"/>
      <c r="Z542" s="1121"/>
      <c r="AA542" s="1121"/>
      <c r="AB542" s="1121"/>
      <c r="AC542" s="1121"/>
      <c r="AD542" s="1121"/>
      <c r="AE542" s="1121"/>
      <c r="AF542" s="1121"/>
      <c r="AG542" s="1121"/>
      <c r="AH542" s="1121"/>
      <c r="AI542" s="1121"/>
      <c r="AJ542" s="1121"/>
    </row>
    <row r="543" spans="1:40" s="1122" customFormat="1">
      <c r="A543" s="1143"/>
      <c r="B543" s="1127"/>
      <c r="C543" s="1133"/>
      <c r="D543" s="1133"/>
      <c r="E543" s="1133"/>
      <c r="F543" s="1133"/>
      <c r="G543" s="1133"/>
      <c r="H543" s="1312"/>
      <c r="I543" s="1144"/>
      <c r="J543" s="1131"/>
      <c r="K543" s="1133"/>
      <c r="L543" s="1121"/>
      <c r="M543" s="1121"/>
      <c r="N543" s="1121"/>
      <c r="O543" s="1121"/>
      <c r="P543" s="1121"/>
      <c r="Q543" s="1121"/>
      <c r="R543" s="1121"/>
      <c r="S543" s="1121"/>
      <c r="T543" s="1121"/>
      <c r="U543" s="1121"/>
      <c r="V543" s="1121"/>
      <c r="W543" s="1121"/>
      <c r="X543" s="1121"/>
      <c r="Y543" s="1121"/>
      <c r="Z543" s="1121"/>
      <c r="AA543" s="1121"/>
      <c r="AB543" s="1121"/>
      <c r="AC543" s="1121"/>
      <c r="AD543" s="1121"/>
      <c r="AE543" s="1121"/>
      <c r="AF543" s="1121"/>
      <c r="AG543" s="1121"/>
      <c r="AH543" s="1121"/>
      <c r="AI543" s="1121"/>
      <c r="AJ543" s="1121"/>
    </row>
    <row r="544" spans="1:40" s="1122" customFormat="1">
      <c r="A544" s="1160" t="s">
        <v>1060</v>
      </c>
      <c r="B544" s="1127"/>
      <c r="C544" s="1137"/>
      <c r="D544" s="1137"/>
      <c r="E544" s="1137"/>
      <c r="F544" s="1137"/>
      <c r="G544" s="1137"/>
      <c r="H544" s="1312"/>
      <c r="I544" s="1147"/>
      <c r="J544" s="1131"/>
      <c r="K544" s="1133"/>
      <c r="L544" s="1121"/>
      <c r="M544" s="1121"/>
      <c r="N544" s="1121"/>
      <c r="O544" s="1121"/>
      <c r="P544" s="1121"/>
      <c r="Q544" s="1121"/>
      <c r="R544" s="1121"/>
      <c r="S544" s="1121"/>
      <c r="T544" s="1121"/>
      <c r="U544" s="1121"/>
      <c r="V544" s="1121"/>
      <c r="W544" s="1121"/>
      <c r="X544" s="1121"/>
      <c r="Y544" s="1121"/>
      <c r="Z544" s="1121"/>
      <c r="AA544" s="1121"/>
      <c r="AB544" s="1121"/>
      <c r="AC544" s="1121"/>
      <c r="AD544" s="1121"/>
      <c r="AE544" s="1121"/>
      <c r="AF544" s="1121"/>
      <c r="AG544" s="1121"/>
      <c r="AH544" s="1121"/>
      <c r="AI544" s="1121"/>
      <c r="AJ544" s="1121"/>
    </row>
    <row r="545" spans="1:36" s="1122" customFormat="1">
      <c r="A545" s="1154" t="s">
        <v>356</v>
      </c>
      <c r="B545" s="1127"/>
      <c r="C545" s="1137" t="s">
        <v>605</v>
      </c>
      <c r="D545" s="1137" t="s">
        <v>605</v>
      </c>
      <c r="E545" s="1137" t="s">
        <v>605</v>
      </c>
      <c r="F545" s="1137" t="s">
        <v>605</v>
      </c>
      <c r="G545" s="1137" t="s">
        <v>605</v>
      </c>
      <c r="H545" s="1313" t="s">
        <v>172</v>
      </c>
      <c r="I545" s="1147" t="s">
        <v>605</v>
      </c>
      <c r="J545" s="1131"/>
      <c r="K545" s="1133"/>
      <c r="L545" s="1121"/>
      <c r="M545" s="1121"/>
      <c r="N545" s="1121"/>
      <c r="O545" s="1121"/>
      <c r="P545" s="1121"/>
      <c r="Q545" s="1121"/>
      <c r="R545" s="1121"/>
      <c r="S545" s="1121"/>
      <c r="T545" s="1121"/>
      <c r="U545" s="1121"/>
      <c r="V545" s="1121"/>
      <c r="W545" s="1121"/>
      <c r="X545" s="1121"/>
      <c r="Y545" s="1121"/>
      <c r="Z545" s="1121"/>
      <c r="AA545" s="1121"/>
      <c r="AB545" s="1121"/>
      <c r="AC545" s="1121"/>
      <c r="AD545" s="1121"/>
      <c r="AE545" s="1121"/>
      <c r="AF545" s="1121"/>
      <c r="AG545" s="1121"/>
      <c r="AH545" s="1121"/>
      <c r="AI545" s="1121"/>
      <c r="AJ545" s="1121"/>
    </row>
    <row r="546" spans="1:36" s="1122" customFormat="1">
      <c r="A546" s="1143" t="s">
        <v>361</v>
      </c>
      <c r="B546" s="1127"/>
      <c r="C546" s="1132" t="s">
        <v>605</v>
      </c>
      <c r="D546" s="1132" t="s">
        <v>605</v>
      </c>
      <c r="E546" s="1132" t="s">
        <v>605</v>
      </c>
      <c r="F546" s="1132" t="s">
        <v>605</v>
      </c>
      <c r="G546" s="1132" t="s">
        <v>605</v>
      </c>
      <c r="H546" s="1338">
        <v>500000000</v>
      </c>
      <c r="I546" s="1183" t="s">
        <v>605</v>
      </c>
      <c r="J546" s="1131"/>
      <c r="K546" s="1133"/>
      <c r="L546" s="1121"/>
      <c r="M546" s="1121"/>
      <c r="N546" s="1121"/>
      <c r="O546" s="1121"/>
      <c r="P546" s="1121"/>
      <c r="Q546" s="1121"/>
      <c r="R546" s="1121"/>
      <c r="S546" s="1121"/>
      <c r="T546" s="1121"/>
      <c r="U546" s="1121"/>
      <c r="V546" s="1121"/>
      <c r="W546" s="1121"/>
      <c r="X546" s="1121"/>
      <c r="Y546" s="1121"/>
      <c r="Z546" s="1121"/>
      <c r="AA546" s="1121"/>
      <c r="AB546" s="1121"/>
      <c r="AC546" s="1121"/>
      <c r="AD546" s="1121"/>
      <c r="AE546" s="1121"/>
      <c r="AF546" s="1121"/>
      <c r="AG546" s="1121"/>
      <c r="AH546" s="1121"/>
      <c r="AI546" s="1121"/>
      <c r="AJ546" s="1121"/>
    </row>
    <row r="547" spans="1:36" s="1122" customFormat="1">
      <c r="A547" s="1154" t="s">
        <v>359</v>
      </c>
      <c r="B547" s="1127"/>
      <c r="C547" s="1132" t="s">
        <v>605</v>
      </c>
      <c r="D547" s="1132" t="s">
        <v>605</v>
      </c>
      <c r="E547" s="1132" t="s">
        <v>605</v>
      </c>
      <c r="F547" s="1132" t="s">
        <v>605</v>
      </c>
      <c r="G547" s="1132" t="s">
        <v>605</v>
      </c>
      <c r="H547" s="1338">
        <v>0</v>
      </c>
      <c r="I547" s="1183" t="s">
        <v>605</v>
      </c>
      <c r="J547" s="1131"/>
      <c r="K547" s="1133"/>
      <c r="L547" s="1121"/>
      <c r="M547" s="1121"/>
      <c r="N547" s="1121"/>
      <c r="O547" s="1121"/>
      <c r="P547" s="1121"/>
      <c r="Q547" s="1121"/>
      <c r="R547" s="1121"/>
      <c r="S547" s="1121"/>
      <c r="T547" s="1121"/>
      <c r="U547" s="1121"/>
      <c r="V547" s="1121"/>
      <c r="W547" s="1121"/>
      <c r="X547" s="1121"/>
      <c r="Y547" s="1121"/>
      <c r="Z547" s="1121"/>
      <c r="AA547" s="1121"/>
      <c r="AB547" s="1121"/>
      <c r="AC547" s="1121"/>
      <c r="AD547" s="1121"/>
      <c r="AE547" s="1121"/>
      <c r="AF547" s="1121"/>
      <c r="AG547" s="1121"/>
      <c r="AH547" s="1121"/>
      <c r="AI547" s="1121"/>
      <c r="AJ547" s="1121"/>
    </row>
    <row r="548" spans="1:36" s="1122" customFormat="1">
      <c r="A548" s="1154" t="s">
        <v>357</v>
      </c>
      <c r="B548" s="1127"/>
      <c r="C548" s="1132" t="s">
        <v>605</v>
      </c>
      <c r="D548" s="1132" t="s">
        <v>605</v>
      </c>
      <c r="E548" s="1132" t="s">
        <v>605</v>
      </c>
      <c r="F548" s="1132" t="s">
        <v>605</v>
      </c>
      <c r="G548" s="1132" t="s">
        <v>605</v>
      </c>
      <c r="H548" s="1339" t="s">
        <v>666</v>
      </c>
      <c r="I548" s="1183" t="s">
        <v>605</v>
      </c>
      <c r="M548" s="1121"/>
      <c r="N548" s="1121"/>
      <c r="O548" s="1121"/>
      <c r="P548" s="1121"/>
      <c r="Q548" s="1121"/>
      <c r="R548" s="1121"/>
      <c r="S548" s="1121"/>
      <c r="T548" s="1121"/>
      <c r="U548" s="1121"/>
      <c r="V548" s="1121"/>
      <c r="W548" s="1121"/>
      <c r="X548" s="1121"/>
      <c r="Y548" s="1121"/>
      <c r="Z548" s="1121"/>
      <c r="AA548" s="1121"/>
      <c r="AB548" s="1121"/>
      <c r="AC548" s="1121"/>
      <c r="AD548" s="1121"/>
      <c r="AE548" s="1121"/>
      <c r="AF548" s="1121"/>
      <c r="AG548" s="1121"/>
      <c r="AH548" s="1121"/>
      <c r="AI548" s="1121"/>
      <c r="AJ548" s="1121"/>
    </row>
    <row r="549" spans="1:36" s="1122" customFormat="1">
      <c r="A549" s="1143" t="s">
        <v>670</v>
      </c>
      <c r="B549" s="1127"/>
      <c r="C549" s="1132" t="s">
        <v>605</v>
      </c>
      <c r="D549" s="1132" t="s">
        <v>605</v>
      </c>
      <c r="E549" s="1132" t="s">
        <v>605</v>
      </c>
      <c r="F549" s="1132" t="s">
        <v>605</v>
      </c>
      <c r="G549" s="1132" t="s">
        <v>605</v>
      </c>
      <c r="H549" s="1339">
        <v>1.2E-2</v>
      </c>
      <c r="I549" s="1183" t="s">
        <v>605</v>
      </c>
      <c r="M549" s="1121"/>
      <c r="N549" s="1121"/>
      <c r="O549" s="1121"/>
      <c r="P549" s="1121"/>
      <c r="Q549" s="1121"/>
      <c r="R549" s="1121"/>
      <c r="S549" s="1121"/>
      <c r="T549" s="1121"/>
      <c r="U549" s="1121"/>
      <c r="V549" s="1121"/>
      <c r="W549" s="1121"/>
      <c r="X549" s="1121"/>
      <c r="Y549" s="1121"/>
      <c r="Z549" s="1121"/>
      <c r="AA549" s="1121"/>
      <c r="AB549" s="1121"/>
      <c r="AC549" s="1121"/>
      <c r="AD549" s="1121"/>
      <c r="AE549" s="1121"/>
      <c r="AF549" s="1121"/>
      <c r="AG549" s="1121"/>
      <c r="AH549" s="1121"/>
      <c r="AI549" s="1121"/>
      <c r="AJ549" s="1121"/>
    </row>
    <row r="550" spans="1:36" s="1122" customFormat="1">
      <c r="A550" s="1154" t="s">
        <v>358</v>
      </c>
      <c r="B550" s="1127"/>
      <c r="C550" s="1132" t="s">
        <v>605</v>
      </c>
      <c r="D550" s="1132" t="s">
        <v>605</v>
      </c>
      <c r="E550" s="1132" t="s">
        <v>605</v>
      </c>
      <c r="F550" s="1132" t="s">
        <v>605</v>
      </c>
      <c r="G550" s="1132" t="s">
        <v>605</v>
      </c>
      <c r="H550" s="1321">
        <v>0</v>
      </c>
      <c r="I550" s="1183" t="s">
        <v>605</v>
      </c>
      <c r="M550" s="1121"/>
      <c r="N550" s="1121"/>
      <c r="O550" s="1121"/>
      <c r="P550" s="1121"/>
      <c r="Q550" s="1121"/>
      <c r="R550" s="1121"/>
      <c r="S550" s="1121"/>
      <c r="T550" s="1121"/>
      <c r="U550" s="1121"/>
      <c r="V550" s="1121"/>
      <c r="W550" s="1121"/>
      <c r="X550" s="1121"/>
      <c r="Y550" s="1121"/>
      <c r="Z550" s="1121"/>
      <c r="AA550" s="1121"/>
      <c r="AB550" s="1121"/>
      <c r="AC550" s="1121"/>
      <c r="AD550" s="1121"/>
      <c r="AE550" s="1121"/>
      <c r="AF550" s="1121"/>
      <c r="AG550" s="1121"/>
      <c r="AH550" s="1121"/>
      <c r="AI550" s="1121"/>
      <c r="AJ550" s="1121"/>
    </row>
    <row r="551" spans="1:36" s="1122" customFormat="1">
      <c r="A551" s="1184"/>
      <c r="B551" s="1162"/>
      <c r="C551" s="1340"/>
      <c r="D551" s="1341"/>
      <c r="E551" s="1340"/>
      <c r="F551" s="1342"/>
      <c r="G551" s="1342"/>
      <c r="H551" s="1342"/>
      <c r="I551" s="1343"/>
      <c r="J551" s="1131"/>
      <c r="K551" s="1133"/>
      <c r="L551" s="1121"/>
      <c r="M551" s="1121"/>
      <c r="N551" s="1121"/>
      <c r="O551" s="1121"/>
      <c r="P551" s="1121"/>
      <c r="Q551" s="1121"/>
      <c r="R551" s="1121"/>
      <c r="S551" s="1121"/>
      <c r="T551" s="1121"/>
      <c r="U551" s="1121"/>
      <c r="V551" s="1121"/>
      <c r="W551" s="1121"/>
      <c r="X551" s="1121"/>
      <c r="Y551" s="1121"/>
      <c r="Z551" s="1121"/>
      <c r="AA551" s="1121"/>
      <c r="AB551" s="1121"/>
      <c r="AC551" s="1121"/>
      <c r="AD551" s="1121"/>
      <c r="AE551" s="1121"/>
      <c r="AF551" s="1121"/>
      <c r="AG551" s="1121"/>
      <c r="AH551" s="1121"/>
      <c r="AI551" s="1121"/>
      <c r="AJ551" s="1121"/>
    </row>
    <row r="552" spans="1:36" s="1122" customFormat="1">
      <c r="A552" s="1188"/>
      <c r="B552" s="1127"/>
      <c r="C552" s="1133"/>
      <c r="D552" s="1131"/>
      <c r="E552" s="1133"/>
      <c r="F552" s="1121"/>
      <c r="G552" s="1121"/>
      <c r="H552" s="1121"/>
      <c r="I552" s="1133"/>
      <c r="J552" s="1131"/>
      <c r="K552" s="1133"/>
      <c r="L552" s="1121"/>
      <c r="M552" s="1121"/>
      <c r="N552" s="1121"/>
      <c r="O552" s="1121"/>
      <c r="P552" s="1121"/>
      <c r="Q552" s="1121"/>
      <c r="R552" s="1121"/>
      <c r="S552" s="1121"/>
      <c r="T552" s="1121"/>
      <c r="U552" s="1121"/>
      <c r="V552" s="1121"/>
      <c r="W552" s="1121"/>
      <c r="X552" s="1121"/>
      <c r="Y552" s="1121"/>
      <c r="Z552" s="1121"/>
      <c r="AA552" s="1121"/>
      <c r="AB552" s="1121"/>
      <c r="AC552" s="1121"/>
      <c r="AD552" s="1121"/>
      <c r="AE552" s="1121"/>
      <c r="AF552" s="1121"/>
      <c r="AG552" s="1121"/>
      <c r="AH552" s="1121"/>
      <c r="AI552" s="1121"/>
      <c r="AJ552" s="1121"/>
    </row>
    <row r="553" spans="1:36">
      <c r="A553" s="114"/>
      <c r="C553" s="782"/>
      <c r="G553" s="751"/>
      <c r="H553" s="35"/>
      <c r="I553" s="35"/>
      <c r="J553" s="35"/>
      <c r="K553" s="35"/>
    </row>
    <row r="554" spans="1:36" ht="45.75" customHeight="1">
      <c r="A554" s="1091" t="s">
        <v>1074</v>
      </c>
      <c r="B554" s="1086" t="s">
        <v>1048</v>
      </c>
      <c r="C554" s="1087" t="s">
        <v>1049</v>
      </c>
      <c r="D554" s="1086" t="s">
        <v>734</v>
      </c>
      <c r="E554" s="1086" t="s">
        <v>375</v>
      </c>
      <c r="F554" s="1088" t="s">
        <v>735</v>
      </c>
      <c r="G554" s="1089" t="s">
        <v>974</v>
      </c>
    </row>
    <row r="555" spans="1:36">
      <c r="A555" s="431" t="s">
        <v>692</v>
      </c>
      <c r="B555" s="1076">
        <v>4984719240.4103374</v>
      </c>
      <c r="C555" s="1070">
        <v>0.85</v>
      </c>
      <c r="D555" s="1073">
        <v>1109000000</v>
      </c>
      <c r="E555" s="1071">
        <v>0.18816641152434474</v>
      </c>
      <c r="F555" s="1076">
        <v>598212502.89999998</v>
      </c>
      <c r="G555" s="1074">
        <v>0.10150000000000001</v>
      </c>
    </row>
    <row r="556" spans="1:36">
      <c r="A556" s="431" t="s">
        <v>88</v>
      </c>
      <c r="B556" s="1076">
        <v>0</v>
      </c>
      <c r="C556" s="1070">
        <v>0</v>
      </c>
      <c r="D556" s="1073">
        <v>1109000000</v>
      </c>
      <c r="E556" s="1071">
        <v>0.18816641152434474</v>
      </c>
      <c r="F556" s="1076">
        <v>421400925.69</v>
      </c>
      <c r="G556" s="1074">
        <v>7.1499999999999994E-2</v>
      </c>
    </row>
    <row r="557" spans="1:36">
      <c r="A557" s="431" t="s">
        <v>368</v>
      </c>
      <c r="B557" s="1076">
        <v>0</v>
      </c>
      <c r="C557" s="1070">
        <v>0</v>
      </c>
      <c r="D557" s="1073">
        <v>1109000000</v>
      </c>
      <c r="E557" s="1071">
        <v>0.18816641152434474</v>
      </c>
      <c r="F557" s="1076">
        <v>268164225.44</v>
      </c>
      <c r="G557" s="1074">
        <v>4.5499999999999999E-2</v>
      </c>
    </row>
    <row r="558" spans="1:36">
      <c r="A558" s="431" t="s">
        <v>369</v>
      </c>
      <c r="B558" s="1076">
        <v>0</v>
      </c>
      <c r="C558" s="1070">
        <v>0</v>
      </c>
      <c r="D558" s="1073">
        <v>1109000000</v>
      </c>
      <c r="E558" s="1071">
        <v>0.18816641152434474</v>
      </c>
      <c r="F558" s="1076">
        <v>73671490.510000005</v>
      </c>
      <c r="G558" s="1074">
        <v>1.2500000000000001E-2</v>
      </c>
    </row>
    <row r="559" spans="1:36">
      <c r="A559" s="506" t="s">
        <v>350</v>
      </c>
      <c r="B559" s="1077">
        <v>909000000</v>
      </c>
      <c r="C559" s="1078">
        <v>0.15</v>
      </c>
      <c r="D559" s="1079">
        <v>0</v>
      </c>
      <c r="E559" s="1072">
        <v>0</v>
      </c>
      <c r="F559" s="1077"/>
      <c r="G559" s="1075"/>
    </row>
    <row r="560" spans="1:36" ht="12" customHeight="1">
      <c r="A560" s="285"/>
      <c r="C560" s="56"/>
      <c r="D560" s="294"/>
    </row>
    <row r="561" spans="1:7">
      <c r="A561" s="273" t="s">
        <v>121</v>
      </c>
      <c r="B561" s="69"/>
      <c r="C561" s="69"/>
      <c r="D561" s="308"/>
      <c r="E561" s="308"/>
      <c r="F561" s="308"/>
    </row>
    <row r="562" spans="1:7">
      <c r="A562" s="289" t="s">
        <v>975</v>
      </c>
      <c r="B562" s="289"/>
      <c r="C562" s="289"/>
      <c r="D562" s="289"/>
      <c r="E562" s="289"/>
      <c r="F562" s="289"/>
    </row>
    <row r="563" spans="1:7">
      <c r="A563" s="289" t="s">
        <v>976</v>
      </c>
      <c r="B563" s="308"/>
      <c r="C563" s="308"/>
      <c r="D563" s="308"/>
      <c r="E563" s="308"/>
      <c r="F563" s="308"/>
    </row>
    <row r="564" spans="1:7">
      <c r="A564" s="273" t="s">
        <v>489</v>
      </c>
      <c r="B564" s="69"/>
      <c r="C564" s="69"/>
      <c r="D564" s="69"/>
    </row>
    <row r="566" spans="1:7">
      <c r="A566" s="273" t="s">
        <v>972</v>
      </c>
    </row>
    <row r="567" spans="1:7">
      <c r="A567" s="273" t="s">
        <v>971</v>
      </c>
    </row>
    <row r="568" spans="1:7">
      <c r="A568" s="273" t="s">
        <v>47</v>
      </c>
    </row>
    <row r="569" spans="1:7" ht="12" customHeight="1">
      <c r="A569" s="273" t="s">
        <v>977</v>
      </c>
    </row>
    <row r="570" spans="1:7">
      <c r="A570" s="273" t="s">
        <v>973</v>
      </c>
    </row>
    <row r="574" spans="1:7" ht="15.75" customHeight="1">
      <c r="A574" s="1084" t="s">
        <v>693</v>
      </c>
      <c r="B574" s="1085" t="s">
        <v>9</v>
      </c>
      <c r="F574" s="288"/>
    </row>
    <row r="575" spans="1:7" ht="22.5" customHeight="1">
      <c r="A575" s="1080" t="s">
        <v>694</v>
      </c>
      <c r="B575" s="1081">
        <v>200000000</v>
      </c>
      <c r="D575" s="285"/>
      <c r="F575" s="295"/>
      <c r="G575" s="742"/>
    </row>
    <row r="576" spans="1:7">
      <c r="A576" s="923" t="s">
        <v>695</v>
      </c>
      <c r="B576" s="1082">
        <v>200000000</v>
      </c>
      <c r="F576" s="36"/>
      <c r="G576" s="34"/>
    </row>
    <row r="577" spans="1:7">
      <c r="A577" s="923" t="s">
        <v>696</v>
      </c>
      <c r="B577" s="1082">
        <v>200000000</v>
      </c>
      <c r="D577" s="280"/>
      <c r="F577" s="36"/>
    </row>
    <row r="578" spans="1:7">
      <c r="A578" s="945" t="s">
        <v>29</v>
      </c>
      <c r="B578" s="1083">
        <v>0</v>
      </c>
    </row>
    <row r="579" spans="1:7">
      <c r="A579" s="285"/>
      <c r="B579" s="295"/>
    </row>
    <row r="580" spans="1:7" ht="14.25">
      <c r="A580" s="362"/>
      <c r="C580" s="301"/>
    </row>
    <row r="581" spans="1:7" ht="14.25">
      <c r="A581" s="733"/>
      <c r="B581" s="735"/>
      <c r="C581" s="735"/>
      <c r="D581" s="735"/>
    </row>
    <row r="582" spans="1:7" ht="15.75">
      <c r="A582" s="1116" t="s">
        <v>697</v>
      </c>
      <c r="B582" s="1214" t="s">
        <v>1121</v>
      </c>
      <c r="C582" s="1214" t="s">
        <v>1122</v>
      </c>
      <c r="D582" s="1214" t="s">
        <v>1123</v>
      </c>
    </row>
    <row r="583" spans="1:7">
      <c r="A583" s="1215"/>
      <c r="B583" s="1216" t="s">
        <v>9</v>
      </c>
      <c r="C583" s="1216" t="s">
        <v>9</v>
      </c>
      <c r="D583" s="1216" t="s">
        <v>9</v>
      </c>
    </row>
    <row r="584" spans="1:7">
      <c r="A584" s="1297" t="s">
        <v>698</v>
      </c>
      <c r="B584" s="1217">
        <v>7995447.8900000202</v>
      </c>
      <c r="C584" s="1217">
        <v>7995447.8900000202</v>
      </c>
      <c r="D584" s="1217"/>
    </row>
    <row r="585" spans="1:7" ht="28.5" customHeight="1">
      <c r="A585" s="1296" t="s">
        <v>699</v>
      </c>
      <c r="B585" s="1217">
        <v>0</v>
      </c>
      <c r="C585" s="1217"/>
      <c r="D585" s="1217">
        <v>0</v>
      </c>
    </row>
    <row r="586" spans="1:7">
      <c r="A586" s="1297" t="s">
        <v>624</v>
      </c>
      <c r="B586" s="1217">
        <v>0</v>
      </c>
      <c r="C586" s="1217">
        <v>0</v>
      </c>
      <c r="D586" s="1217">
        <v>0</v>
      </c>
    </row>
    <row r="587" spans="1:7">
      <c r="A587" s="1297" t="s">
        <v>625</v>
      </c>
      <c r="B587" s="1217">
        <v>0</v>
      </c>
      <c r="C587" s="1217">
        <v>0</v>
      </c>
      <c r="D587" s="1217">
        <v>0</v>
      </c>
    </row>
    <row r="588" spans="1:7">
      <c r="A588" s="1297" t="s">
        <v>626</v>
      </c>
      <c r="B588" s="1217">
        <v>0</v>
      </c>
      <c r="C588" s="1217">
        <v>0</v>
      </c>
      <c r="D588" s="1217">
        <v>0</v>
      </c>
    </row>
    <row r="589" spans="1:7" ht="13.5" thickBot="1">
      <c r="A589" s="1218" t="s">
        <v>627</v>
      </c>
      <c r="B589" s="1455">
        <v>7995447.8900000202</v>
      </c>
      <c r="C589" s="1267">
        <v>7995447.8900000202</v>
      </c>
      <c r="D589" s="1267">
        <v>0</v>
      </c>
    </row>
    <row r="590" spans="1:7" ht="13.5" thickTop="1">
      <c r="A590" s="284"/>
      <c r="D590" s="112"/>
    </row>
    <row r="591" spans="1:7" ht="13.5" customHeight="1">
      <c r="A591" s="556"/>
      <c r="C591" s="33"/>
      <c r="D591" s="274"/>
      <c r="E591" s="288"/>
      <c r="F591" s="1614"/>
      <c r="G591" s="1615"/>
    </row>
    <row r="592" spans="1:7" ht="19.5" customHeight="1">
      <c r="A592" s="525" t="s">
        <v>363</v>
      </c>
    </row>
    <row r="593" spans="1:11" ht="13.5" customHeight="1">
      <c r="A593" s="525"/>
    </row>
    <row r="594" spans="1:11" ht="18.75" customHeight="1">
      <c r="A594" s="1090" t="s">
        <v>300</v>
      </c>
      <c r="B594" s="33"/>
      <c r="C594" s="33"/>
      <c r="D594" s="33"/>
      <c r="E594" s="33"/>
      <c r="K594" s="276"/>
    </row>
    <row r="595" spans="1:11" ht="15.75">
      <c r="A595" s="1090"/>
      <c r="B595" s="33"/>
      <c r="C595" s="33"/>
      <c r="D595" s="33"/>
      <c r="E595" s="33"/>
      <c r="K595" s="276"/>
    </row>
    <row r="596" spans="1:11" ht="18" customHeight="1">
      <c r="A596" s="990" t="s">
        <v>924</v>
      </c>
      <c r="B596" s="1627" t="s">
        <v>925</v>
      </c>
      <c r="C596" s="1562"/>
      <c r="D596" s="1562"/>
      <c r="E596" s="1563"/>
      <c r="F596" s="1625" t="s">
        <v>926</v>
      </c>
      <c r="G596" s="1626"/>
      <c r="H596" s="1604"/>
      <c r="I596" s="1039" t="s">
        <v>928</v>
      </c>
      <c r="K596" s="276"/>
    </row>
    <row r="597" spans="1:11" ht="14.25" customHeight="1">
      <c r="A597" s="916"/>
      <c r="B597" s="917"/>
      <c r="C597" s="438" t="s">
        <v>968</v>
      </c>
      <c r="D597" s="518" t="s">
        <v>433</v>
      </c>
      <c r="E597" s="919" t="s">
        <v>435</v>
      </c>
      <c r="F597" s="1616" t="s">
        <v>295</v>
      </c>
      <c r="G597" s="1617"/>
      <c r="H597" s="1618"/>
      <c r="I597" s="946"/>
      <c r="K597" s="276"/>
    </row>
    <row r="598" spans="1:11" ht="17.25" customHeight="1">
      <c r="A598" s="711" t="s">
        <v>927</v>
      </c>
      <c r="B598" s="924" t="s">
        <v>789</v>
      </c>
      <c r="C598" s="927" t="s">
        <v>929</v>
      </c>
      <c r="D598" s="926" t="s">
        <v>791</v>
      </c>
      <c r="E598" s="925" t="s">
        <v>608</v>
      </c>
      <c r="F598" s="1619"/>
      <c r="G598" s="1620"/>
      <c r="H598" s="1621"/>
      <c r="I598" s="947" t="s">
        <v>296</v>
      </c>
      <c r="K598" s="276"/>
    </row>
    <row r="599" spans="1:11" ht="22.5" customHeight="1">
      <c r="A599" s="711"/>
      <c r="B599" s="1094" t="s">
        <v>606</v>
      </c>
      <c r="C599" s="925" t="s">
        <v>605</v>
      </c>
      <c r="D599" s="926" t="s">
        <v>605</v>
      </c>
      <c r="E599" s="927" t="s">
        <v>607</v>
      </c>
      <c r="F599" s="1619"/>
      <c r="G599" s="1620"/>
      <c r="H599" s="1621"/>
      <c r="I599" s="947"/>
      <c r="K599" s="276"/>
    </row>
    <row r="600" spans="1:11" ht="44.25" customHeight="1">
      <c r="A600" s="711" t="s">
        <v>297</v>
      </c>
      <c r="B600" s="924" t="s">
        <v>930</v>
      </c>
      <c r="C600" s="925" t="s">
        <v>294</v>
      </c>
      <c r="D600" s="926" t="s">
        <v>605</v>
      </c>
      <c r="E600" s="927" t="s">
        <v>521</v>
      </c>
      <c r="F600" s="1619"/>
      <c r="G600" s="1620"/>
      <c r="H600" s="1621"/>
      <c r="I600" s="947" t="s">
        <v>296</v>
      </c>
      <c r="K600" s="276"/>
    </row>
    <row r="601" spans="1:11" ht="15.75" customHeight="1">
      <c r="A601" s="473"/>
      <c r="B601" s="1095" t="s">
        <v>606</v>
      </c>
      <c r="C601" s="930" t="s">
        <v>605</v>
      </c>
      <c r="D601" s="931" t="s">
        <v>605</v>
      </c>
      <c r="E601" s="932" t="s">
        <v>293</v>
      </c>
      <c r="F601" s="1619"/>
      <c r="G601" s="1620"/>
      <c r="H601" s="1621"/>
      <c r="I601" s="947"/>
      <c r="K601" s="276"/>
    </row>
    <row r="602" spans="1:11" ht="6" customHeight="1">
      <c r="A602" s="570"/>
      <c r="B602" s="933"/>
      <c r="C602" s="934"/>
      <c r="D602" s="935"/>
      <c r="E602" s="936"/>
      <c r="F602" s="1573"/>
      <c r="G602" s="1543"/>
      <c r="H602" s="1544"/>
      <c r="I602" s="947"/>
      <c r="K602" s="276"/>
    </row>
    <row r="603" spans="1:11" ht="21" customHeight="1">
      <c r="A603" s="918" t="s">
        <v>298</v>
      </c>
      <c r="B603" s="924" t="s">
        <v>789</v>
      </c>
      <c r="C603" s="927" t="s">
        <v>313</v>
      </c>
      <c r="D603" s="926" t="s">
        <v>791</v>
      </c>
      <c r="E603" s="937" t="s">
        <v>608</v>
      </c>
      <c r="F603" s="1573"/>
      <c r="G603" s="1543"/>
      <c r="H603" s="1544"/>
      <c r="I603" s="947" t="s">
        <v>296</v>
      </c>
      <c r="K603" s="276"/>
    </row>
    <row r="604" spans="1:11" ht="18.75" customHeight="1">
      <c r="A604" s="920"/>
      <c r="B604" s="1094" t="s">
        <v>606</v>
      </c>
      <c r="C604" s="925" t="s">
        <v>605</v>
      </c>
      <c r="D604" s="926" t="s">
        <v>605</v>
      </c>
      <c r="E604" s="938" t="s">
        <v>607</v>
      </c>
      <c r="F604" s="1573"/>
      <c r="G604" s="1543"/>
      <c r="H604" s="1544"/>
      <c r="I604" s="947"/>
      <c r="K604" s="276"/>
    </row>
    <row r="605" spans="1:11" ht="54.75" customHeight="1">
      <c r="A605" s="920"/>
      <c r="B605" s="924" t="s">
        <v>930</v>
      </c>
      <c r="C605" s="925" t="s">
        <v>299</v>
      </c>
      <c r="D605" s="926" t="s">
        <v>605</v>
      </c>
      <c r="E605" s="938" t="s">
        <v>521</v>
      </c>
      <c r="F605" s="1573"/>
      <c r="G605" s="1543"/>
      <c r="H605" s="1544"/>
      <c r="I605" s="947"/>
      <c r="K605" s="276"/>
    </row>
    <row r="606" spans="1:11" ht="15.75" customHeight="1">
      <c r="A606" s="920"/>
      <c r="B606" s="1094" t="s">
        <v>606</v>
      </c>
      <c r="C606" s="925" t="s">
        <v>605</v>
      </c>
      <c r="D606" s="926" t="s">
        <v>605</v>
      </c>
      <c r="E606" s="938" t="s">
        <v>293</v>
      </c>
      <c r="F606" s="1573"/>
      <c r="G606" s="1543"/>
      <c r="H606" s="1544"/>
      <c r="I606" s="947"/>
      <c r="K606" s="276"/>
    </row>
    <row r="607" spans="1:11" ht="7.5" customHeight="1">
      <c r="A607" s="921"/>
      <c r="B607" s="917"/>
      <c r="C607" s="475"/>
      <c r="D607" s="422"/>
      <c r="E607" s="475"/>
      <c r="F607" s="915"/>
      <c r="G607" s="88"/>
      <c r="H607" s="66"/>
      <c r="I607" s="946"/>
      <c r="K607" s="276"/>
    </row>
    <row r="608" spans="1:11" ht="49.5" customHeight="1">
      <c r="A608" s="977" t="s">
        <v>808</v>
      </c>
      <c r="B608" s="924" t="s">
        <v>930</v>
      </c>
      <c r="C608" s="927" t="s">
        <v>605</v>
      </c>
      <c r="D608" s="926" t="s">
        <v>450</v>
      </c>
      <c r="E608" s="927" t="s">
        <v>605</v>
      </c>
      <c r="F608" s="1495" t="s">
        <v>301</v>
      </c>
      <c r="G608" s="1543"/>
      <c r="H608" s="1544"/>
      <c r="I608" s="947" t="s">
        <v>296</v>
      </c>
      <c r="K608" s="276"/>
    </row>
    <row r="609" spans="1:11" ht="42" customHeight="1">
      <c r="A609" s="978"/>
      <c r="B609" s="924" t="s">
        <v>930</v>
      </c>
      <c r="C609" s="925" t="s">
        <v>442</v>
      </c>
      <c r="D609" s="926" t="s">
        <v>7</v>
      </c>
      <c r="E609" s="927" t="s">
        <v>442</v>
      </c>
      <c r="F609" s="1495" t="s">
        <v>338</v>
      </c>
      <c r="G609" s="1543"/>
      <c r="H609" s="1544"/>
      <c r="I609" s="947" t="s">
        <v>296</v>
      </c>
      <c r="K609" s="276"/>
    </row>
    <row r="610" spans="1:11" ht="9.75" customHeight="1">
      <c r="A610" s="979"/>
      <c r="B610" s="980"/>
      <c r="C610" s="941"/>
      <c r="D610" s="981"/>
      <c r="E610" s="941"/>
      <c r="F610" s="982"/>
      <c r="G610" s="983"/>
      <c r="H610" s="55"/>
      <c r="I610" s="948"/>
      <c r="K610" s="276"/>
    </row>
    <row r="611" spans="1:11" ht="28.5" customHeight="1">
      <c r="A611" s="940" t="s">
        <v>302</v>
      </c>
      <c r="B611" s="929" t="s">
        <v>930</v>
      </c>
      <c r="C611" s="932" t="s">
        <v>605</v>
      </c>
      <c r="D611" s="931" t="s">
        <v>450</v>
      </c>
      <c r="E611" s="939" t="s">
        <v>605</v>
      </c>
      <c r="F611" s="1501" t="s">
        <v>303</v>
      </c>
      <c r="G611" s="1550"/>
      <c r="H611" s="1551"/>
      <c r="I611" s="949" t="s">
        <v>304</v>
      </c>
      <c r="K611" s="276"/>
    </row>
    <row r="612" spans="1:11" ht="3.75" customHeight="1">
      <c r="A612" s="942"/>
      <c r="B612" s="933"/>
      <c r="C612" s="943"/>
      <c r="D612" s="935"/>
      <c r="E612" s="936"/>
      <c r="F612" s="53"/>
      <c r="G612" s="964"/>
      <c r="H612" s="965"/>
      <c r="I612" s="950"/>
      <c r="K612" s="276"/>
    </row>
    <row r="613" spans="1:11" ht="90" customHeight="1">
      <c r="A613" s="991" t="s">
        <v>305</v>
      </c>
      <c r="B613" s="1622" t="s">
        <v>306</v>
      </c>
      <c r="C613" s="1623"/>
      <c r="D613" s="1623"/>
      <c r="E613" s="1624"/>
      <c r="F613" s="1501" t="s">
        <v>307</v>
      </c>
      <c r="G613" s="1528"/>
      <c r="H613" s="1529"/>
      <c r="I613" s="949" t="s">
        <v>296</v>
      </c>
      <c r="K613" s="276"/>
    </row>
    <row r="614" spans="1:11" ht="6" customHeight="1">
      <c r="A614" s="992"/>
      <c r="B614" s="944"/>
      <c r="C614" s="903"/>
      <c r="D614" s="903"/>
      <c r="E614" s="966"/>
      <c r="F614" s="903"/>
      <c r="G614" s="964"/>
      <c r="H614" s="964"/>
      <c r="I614" s="951"/>
      <c r="K614" s="276"/>
    </row>
    <row r="615" spans="1:11" ht="88.5" customHeight="1">
      <c r="A615" s="940" t="s">
        <v>308</v>
      </c>
      <c r="B615" s="1501" t="s">
        <v>309</v>
      </c>
      <c r="C615" s="1493"/>
      <c r="D615" s="1493"/>
      <c r="E615" s="1494"/>
      <c r="F615" s="1493" t="s">
        <v>310</v>
      </c>
      <c r="G615" s="1550"/>
      <c r="H615" s="1550"/>
      <c r="I615" s="948" t="s">
        <v>296</v>
      </c>
      <c r="K615" s="276"/>
    </row>
    <row r="616" spans="1:11" ht="9.75" customHeight="1">
      <c r="A616" s="922"/>
      <c r="B616" s="917"/>
      <c r="C616" s="475"/>
      <c r="D616" s="422"/>
      <c r="E616" s="430"/>
      <c r="F616" s="915"/>
      <c r="G616" s="88"/>
      <c r="H616" s="66"/>
      <c r="I616" s="946"/>
      <c r="K616" s="276"/>
    </row>
    <row r="617" spans="1:11" ht="18" customHeight="1">
      <c r="A617" s="923" t="s">
        <v>311</v>
      </c>
      <c r="B617" s="924" t="s">
        <v>314</v>
      </c>
      <c r="C617" s="927" t="s">
        <v>313</v>
      </c>
      <c r="D617" s="926" t="s">
        <v>605</v>
      </c>
      <c r="E617" s="938" t="s">
        <v>605</v>
      </c>
      <c r="F617" s="1495" t="s">
        <v>316</v>
      </c>
      <c r="G617" s="1608"/>
      <c r="H617" s="1609"/>
      <c r="I617" s="437" t="s">
        <v>296</v>
      </c>
      <c r="K617" s="276"/>
    </row>
    <row r="618" spans="1:11" ht="63.75" customHeight="1">
      <c r="A618" s="923"/>
      <c r="B618" s="924" t="s">
        <v>312</v>
      </c>
      <c r="C618" s="925" t="s">
        <v>315</v>
      </c>
      <c r="D618" s="926" t="s">
        <v>7</v>
      </c>
      <c r="E618" s="938" t="s">
        <v>96</v>
      </c>
      <c r="F618" s="1610"/>
      <c r="G618" s="1608"/>
      <c r="H618" s="1609"/>
      <c r="I618" s="437"/>
      <c r="K618" s="276"/>
    </row>
    <row r="619" spans="1:11" ht="18" customHeight="1">
      <c r="A619" s="945"/>
      <c r="B619" s="1095" t="s">
        <v>606</v>
      </c>
      <c r="C619" s="930" t="s">
        <v>605</v>
      </c>
      <c r="D619" s="931" t="s">
        <v>605</v>
      </c>
      <c r="E619" s="939" t="s">
        <v>36</v>
      </c>
      <c r="F619" s="1611"/>
      <c r="G619" s="1612"/>
      <c r="H619" s="1613"/>
      <c r="I619" s="952"/>
      <c r="K619" s="276"/>
    </row>
    <row r="620" spans="1:11" ht="9.75" customHeight="1">
      <c r="A620" s="338"/>
      <c r="K620" s="276"/>
    </row>
    <row r="621" spans="1:11" ht="19.5" customHeight="1">
      <c r="A621" s="1090" t="s">
        <v>317</v>
      </c>
      <c r="K621" s="276"/>
    </row>
    <row r="622" spans="1:11" ht="15.75">
      <c r="A622" s="1090"/>
      <c r="K622" s="276"/>
    </row>
    <row r="623" spans="1:11" ht="22.5" customHeight="1">
      <c r="A623" s="953" t="s">
        <v>318</v>
      </c>
      <c r="B623" s="1564" t="s">
        <v>319</v>
      </c>
      <c r="C623" s="1567"/>
      <c r="D623" s="1564" t="s">
        <v>320</v>
      </c>
      <c r="E623" s="1569"/>
      <c r="F623" s="1569"/>
      <c r="G623" s="1569"/>
      <c r="H623" s="1570"/>
      <c r="I623" s="956" t="s">
        <v>321</v>
      </c>
      <c r="K623" s="276"/>
    </row>
    <row r="624" spans="1:11" ht="18.75" customHeight="1">
      <c r="A624" s="1568" t="s">
        <v>339</v>
      </c>
      <c r="B624" s="1569"/>
      <c r="C624" s="1569"/>
      <c r="D624" s="1569"/>
      <c r="E624" s="1569"/>
      <c r="F624" s="1569"/>
      <c r="G624" s="1569"/>
      <c r="H624" s="1569"/>
      <c r="I624" s="1570"/>
      <c r="K624" s="276"/>
    </row>
    <row r="625" spans="1:256" ht="16.5" customHeight="1">
      <c r="A625" s="1564" t="s">
        <v>322</v>
      </c>
      <c r="B625" s="1565"/>
      <c r="C625" s="1565"/>
      <c r="D625" s="1565"/>
      <c r="E625" s="1565"/>
      <c r="F625" s="1565"/>
      <c r="G625" s="1569"/>
      <c r="H625" s="1569"/>
      <c r="I625" s="1570"/>
      <c r="K625" s="276"/>
    </row>
    <row r="626" spans="1:256" ht="19.5" customHeight="1">
      <c r="A626" s="928" t="s">
        <v>323</v>
      </c>
      <c r="B626" s="1571" t="s">
        <v>326</v>
      </c>
      <c r="C626" s="1572"/>
      <c r="D626" s="1571" t="s">
        <v>477</v>
      </c>
      <c r="E626" s="1562"/>
      <c r="F626" s="1562"/>
      <c r="G626" s="1562"/>
      <c r="H626" s="1563"/>
      <c r="I626" s="1036" t="s">
        <v>296</v>
      </c>
      <c r="K626" s="276"/>
    </row>
    <row r="627" spans="1:256" ht="36" customHeight="1">
      <c r="A627" s="954" t="s">
        <v>324</v>
      </c>
      <c r="B627" s="1575" t="s">
        <v>327</v>
      </c>
      <c r="C627" s="1576"/>
      <c r="D627" s="1573"/>
      <c r="E627" s="1543"/>
      <c r="F627" s="1543"/>
      <c r="G627" s="1543"/>
      <c r="H627" s="1544"/>
      <c r="I627" s="947" t="s">
        <v>296</v>
      </c>
      <c r="K627" s="276"/>
    </row>
    <row r="628" spans="1:256" ht="37.5" customHeight="1">
      <c r="A628" s="955" t="s">
        <v>325</v>
      </c>
      <c r="B628" s="1577" t="s">
        <v>591</v>
      </c>
      <c r="C628" s="1578"/>
      <c r="D628" s="1574"/>
      <c r="E628" s="1550"/>
      <c r="F628" s="1550"/>
      <c r="G628" s="1550"/>
      <c r="H628" s="1551"/>
      <c r="I628" s="948" t="s">
        <v>296</v>
      </c>
      <c r="K628" s="276"/>
    </row>
    <row r="629" spans="1:256">
      <c r="A629" s="1564" t="s">
        <v>592</v>
      </c>
      <c r="B629" s="1565"/>
      <c r="C629" s="1565"/>
      <c r="D629" s="1565"/>
      <c r="E629" s="1565"/>
      <c r="F629" s="1565"/>
      <c r="G629" s="1566"/>
      <c r="H629" s="1566"/>
      <c r="I629" s="1567"/>
      <c r="K629" s="276"/>
    </row>
    <row r="630" spans="1:256" ht="93.75" customHeight="1">
      <c r="A630" s="674" t="s">
        <v>593</v>
      </c>
      <c r="B630" s="1603" t="s">
        <v>594</v>
      </c>
      <c r="C630" s="1604"/>
      <c r="D630" s="1602" t="s">
        <v>852</v>
      </c>
      <c r="E630" s="1569" t="s">
        <v>595</v>
      </c>
      <c r="F630" s="1569" t="s">
        <v>595</v>
      </c>
      <c r="G630" s="1569" t="s">
        <v>595</v>
      </c>
      <c r="H630" s="1569" t="s">
        <v>595</v>
      </c>
      <c r="I630" s="957" t="s">
        <v>304</v>
      </c>
      <c r="K630" s="276"/>
    </row>
    <row r="631" spans="1:256">
      <c r="A631" s="52"/>
      <c r="B631" s="49"/>
      <c r="C631" s="49"/>
      <c r="D631" s="1043"/>
      <c r="E631" s="1043"/>
      <c r="F631" s="1043"/>
      <c r="G631" s="1043"/>
      <c r="H631" s="1043"/>
      <c r="I631" s="1044"/>
      <c r="K631" s="276"/>
    </row>
    <row r="632" spans="1:256">
      <c r="A632" s="52"/>
      <c r="B632" s="49"/>
      <c r="C632" s="49"/>
      <c r="D632" s="1043"/>
      <c r="E632" s="1043"/>
      <c r="F632" s="1043"/>
      <c r="G632" s="1043"/>
      <c r="H632" s="1043"/>
      <c r="I632" s="1044"/>
      <c r="K632" s="276"/>
    </row>
    <row r="633" spans="1:256" s="35" customFormat="1">
      <c r="A633" s="1050" t="s">
        <v>1061</v>
      </c>
      <c r="B633" s="49"/>
      <c r="C633" s="49"/>
      <c r="D633" s="1043"/>
      <c r="E633" s="1043"/>
      <c r="F633" s="1043"/>
      <c r="G633" s="1043"/>
      <c r="H633" s="1043"/>
      <c r="I633" s="1044"/>
      <c r="K633" s="126"/>
    </row>
    <row r="634" spans="1:256" ht="16.5" customHeight="1">
      <c r="A634" s="953" t="s">
        <v>318</v>
      </c>
      <c r="B634" s="1564" t="s">
        <v>319</v>
      </c>
      <c r="C634" s="1567"/>
      <c r="D634" s="1564" t="s">
        <v>320</v>
      </c>
      <c r="E634" s="1569"/>
      <c r="F634" s="1569"/>
      <c r="G634" s="1569"/>
      <c r="H634" s="1570"/>
      <c r="I634" s="956" t="s">
        <v>321</v>
      </c>
      <c r="K634" s="276"/>
    </row>
    <row r="635" spans="1:256" ht="84.75" customHeight="1">
      <c r="A635" s="1045" t="s">
        <v>533</v>
      </c>
      <c r="B635" s="1600" t="s">
        <v>534</v>
      </c>
      <c r="C635" s="1601"/>
      <c r="D635" s="1602" t="s">
        <v>535</v>
      </c>
      <c r="E635" s="1569"/>
      <c r="F635" s="1569"/>
      <c r="G635" s="1569"/>
      <c r="H635" s="1570"/>
      <c r="I635" s="1046" t="s">
        <v>296</v>
      </c>
      <c r="K635" s="276"/>
    </row>
    <row r="636" spans="1:256">
      <c r="A636" s="52"/>
      <c r="B636" s="49"/>
      <c r="C636" s="49"/>
      <c r="D636" s="1043"/>
      <c r="E636" s="1043"/>
      <c r="F636" s="1043"/>
      <c r="G636" s="1043"/>
      <c r="H636" s="1043"/>
      <c r="I636" s="1044"/>
      <c r="K636" s="276"/>
    </row>
    <row r="637" spans="1:256">
      <c r="A637" s="52"/>
      <c r="B637" s="49"/>
      <c r="C637" s="49"/>
      <c r="D637" s="1043"/>
      <c r="E637" s="1043"/>
      <c r="F637" s="1043"/>
      <c r="G637" s="1043"/>
      <c r="H637" s="1043"/>
      <c r="I637" s="1044"/>
      <c r="K637" s="276"/>
    </row>
    <row r="638" spans="1:256" s="35" customFormat="1">
      <c r="A638" s="1096" t="s">
        <v>275</v>
      </c>
      <c r="B638" s="49"/>
      <c r="C638" s="49"/>
      <c r="D638" s="1043"/>
      <c r="E638" s="1043"/>
      <c r="F638" s="1043"/>
      <c r="G638" s="1043"/>
      <c r="H638" s="1043"/>
      <c r="I638" s="1044"/>
      <c r="K638" s="126"/>
      <c r="AK638" s="33"/>
      <c r="AL638" s="33"/>
      <c r="AM638" s="33"/>
      <c r="AN638" s="33"/>
      <c r="AO638" s="33"/>
      <c r="AP638" s="33"/>
      <c r="AQ638" s="33"/>
      <c r="AR638" s="33"/>
      <c r="AS638" s="33"/>
      <c r="AT638" s="33"/>
      <c r="AU638" s="33"/>
      <c r="AV638" s="33"/>
      <c r="AW638" s="33"/>
      <c r="AX638" s="33"/>
      <c r="AY638" s="33"/>
      <c r="AZ638" s="33"/>
      <c r="BA638" s="33"/>
      <c r="BB638" s="33"/>
      <c r="BC638" s="33"/>
      <c r="BD638" s="33"/>
      <c r="BE638" s="33"/>
      <c r="BF638" s="33"/>
      <c r="BG638" s="33"/>
      <c r="BH638" s="33"/>
      <c r="BI638" s="33"/>
      <c r="BJ638" s="33"/>
      <c r="BK638" s="33"/>
      <c r="BL638" s="33"/>
      <c r="BM638" s="33"/>
      <c r="BN638" s="33"/>
      <c r="BO638" s="33"/>
      <c r="BP638" s="33"/>
      <c r="BQ638" s="33"/>
      <c r="BR638" s="33"/>
      <c r="BS638" s="33"/>
      <c r="BT638" s="33"/>
      <c r="BU638" s="33"/>
      <c r="BV638" s="33"/>
      <c r="BW638" s="33"/>
      <c r="BX638" s="33"/>
      <c r="BY638" s="33"/>
      <c r="BZ638" s="33"/>
      <c r="CA638" s="33"/>
      <c r="CB638" s="33"/>
      <c r="CC638" s="33"/>
      <c r="CD638" s="33"/>
      <c r="CE638" s="33"/>
      <c r="CF638" s="33"/>
      <c r="CG638" s="33"/>
      <c r="CH638" s="33"/>
      <c r="CI638" s="33"/>
      <c r="CJ638" s="33"/>
      <c r="CK638" s="33"/>
      <c r="CL638" s="33"/>
      <c r="CM638" s="33"/>
      <c r="CN638" s="33"/>
      <c r="CO638" s="33"/>
      <c r="CP638" s="33"/>
      <c r="CQ638" s="33"/>
      <c r="CR638" s="33"/>
      <c r="CS638" s="33"/>
      <c r="CT638" s="33"/>
      <c r="CU638" s="33"/>
      <c r="CV638" s="33"/>
      <c r="CW638" s="33"/>
      <c r="CX638" s="33"/>
      <c r="CY638" s="33"/>
      <c r="CZ638" s="33"/>
      <c r="DA638" s="33"/>
      <c r="DB638" s="33"/>
      <c r="DC638" s="33"/>
      <c r="DD638" s="33"/>
      <c r="DE638" s="33"/>
      <c r="DF638" s="33"/>
      <c r="DG638" s="33"/>
      <c r="DH638" s="33"/>
      <c r="DI638" s="33"/>
      <c r="DJ638" s="33"/>
      <c r="DK638" s="33"/>
      <c r="DL638" s="33"/>
      <c r="DM638" s="33"/>
      <c r="DN638" s="33"/>
      <c r="DO638" s="33"/>
      <c r="DP638" s="33"/>
      <c r="DQ638" s="33"/>
      <c r="DR638" s="33"/>
      <c r="DS638" s="33"/>
      <c r="DT638" s="33"/>
      <c r="DU638" s="33"/>
      <c r="DV638" s="33"/>
      <c r="DW638" s="33"/>
      <c r="DX638" s="33"/>
      <c r="DY638" s="33"/>
      <c r="DZ638" s="33"/>
      <c r="EA638" s="33"/>
      <c r="EB638" s="33"/>
      <c r="EC638" s="33"/>
      <c r="ED638" s="33"/>
      <c r="EE638" s="33"/>
      <c r="EF638" s="33"/>
      <c r="EG638" s="33"/>
      <c r="EH638" s="33"/>
      <c r="EI638" s="33"/>
      <c r="EJ638" s="33"/>
      <c r="EK638" s="33"/>
      <c r="EL638" s="33"/>
      <c r="EM638" s="33"/>
      <c r="EN638" s="33"/>
      <c r="EO638" s="33"/>
      <c r="EP638" s="33"/>
      <c r="EQ638" s="33"/>
      <c r="ER638" s="33"/>
      <c r="ES638" s="33"/>
      <c r="ET638" s="33"/>
      <c r="EU638" s="33"/>
      <c r="EV638" s="33"/>
      <c r="EW638" s="33"/>
      <c r="EX638" s="33"/>
      <c r="EY638" s="33"/>
      <c r="EZ638" s="33"/>
      <c r="FA638" s="33"/>
      <c r="FB638" s="33"/>
      <c r="FC638" s="33"/>
      <c r="FD638" s="33"/>
      <c r="FE638" s="33"/>
      <c r="FF638" s="33"/>
      <c r="FG638" s="33"/>
      <c r="FH638" s="33"/>
      <c r="FI638" s="33"/>
      <c r="FJ638" s="33"/>
      <c r="FK638" s="33"/>
      <c r="FL638" s="33"/>
      <c r="FM638" s="33"/>
      <c r="FN638" s="33"/>
      <c r="FO638" s="33"/>
      <c r="FP638" s="33"/>
      <c r="FQ638" s="33"/>
      <c r="FR638" s="33"/>
      <c r="FS638" s="33"/>
      <c r="FT638" s="33"/>
      <c r="FU638" s="33"/>
      <c r="FV638" s="33"/>
      <c r="FW638" s="33"/>
      <c r="FX638" s="33"/>
      <c r="FY638" s="33"/>
      <c r="FZ638" s="33"/>
      <c r="GA638" s="33"/>
      <c r="GB638" s="33"/>
      <c r="GC638" s="33"/>
      <c r="GD638" s="33"/>
      <c r="GE638" s="33"/>
      <c r="GF638" s="33"/>
      <c r="GG638" s="33"/>
      <c r="GH638" s="33"/>
      <c r="GI638" s="33"/>
      <c r="GJ638" s="33"/>
      <c r="GK638" s="33"/>
      <c r="GL638" s="33"/>
      <c r="GM638" s="33"/>
      <c r="GN638" s="33"/>
      <c r="GO638" s="33"/>
      <c r="GP638" s="33"/>
      <c r="GQ638" s="33"/>
      <c r="GR638" s="33"/>
      <c r="GS638" s="33"/>
      <c r="GT638" s="33"/>
      <c r="GU638" s="33"/>
      <c r="GV638" s="33"/>
      <c r="GW638" s="33"/>
      <c r="GX638" s="33"/>
      <c r="GY638" s="33"/>
      <c r="GZ638" s="33"/>
      <c r="HA638" s="33"/>
      <c r="HB638" s="33"/>
      <c r="HC638" s="33"/>
      <c r="HD638" s="33"/>
      <c r="HE638" s="33"/>
      <c r="HF638" s="33"/>
      <c r="HG638" s="33"/>
      <c r="HH638" s="33"/>
      <c r="HI638" s="33"/>
      <c r="HJ638" s="33"/>
      <c r="HK638" s="33"/>
      <c r="HL638" s="33"/>
      <c r="HM638" s="33"/>
      <c r="HN638" s="33"/>
      <c r="HO638" s="33"/>
      <c r="HP638" s="33"/>
      <c r="HQ638" s="33"/>
      <c r="HR638" s="33"/>
      <c r="HS638" s="33"/>
      <c r="HT638" s="33"/>
      <c r="HU638" s="33"/>
      <c r="HV638" s="33"/>
      <c r="HW638" s="33"/>
      <c r="HX638" s="33"/>
      <c r="HY638" s="33"/>
      <c r="HZ638" s="33"/>
      <c r="IA638" s="33"/>
      <c r="IB638" s="33"/>
      <c r="IC638" s="33"/>
      <c r="ID638" s="33"/>
      <c r="IE638" s="33"/>
      <c r="IF638" s="33"/>
      <c r="IG638" s="33"/>
      <c r="IH638" s="33"/>
      <c r="II638" s="33"/>
      <c r="IJ638" s="33"/>
      <c r="IK638" s="33"/>
      <c r="IL638" s="33"/>
      <c r="IM638" s="33"/>
      <c r="IN638" s="33"/>
      <c r="IO638" s="33"/>
      <c r="IP638" s="33"/>
      <c r="IQ638" s="33"/>
      <c r="IR638" s="33"/>
      <c r="IS638" s="33"/>
      <c r="IT638" s="33"/>
      <c r="IU638" s="33"/>
      <c r="IV638" s="33"/>
    </row>
    <row r="639" spans="1:256" ht="16.5" customHeight="1">
      <c r="A639" s="974" t="s">
        <v>287</v>
      </c>
      <c r="B639" s="1605" t="s">
        <v>288</v>
      </c>
      <c r="C639" s="1606"/>
      <c r="D639" s="1607"/>
      <c r="E639" s="1605" t="s">
        <v>289</v>
      </c>
      <c r="F639" s="1569"/>
      <c r="G639" s="1569"/>
      <c r="H639" s="1570"/>
      <c r="I639" s="1056" t="s">
        <v>321</v>
      </c>
      <c r="K639" s="276"/>
    </row>
    <row r="640" spans="1:256" ht="70.5" customHeight="1">
      <c r="A640" s="1586" t="s">
        <v>536</v>
      </c>
      <c r="B640" s="1583" t="s">
        <v>720</v>
      </c>
      <c r="C640" s="1584"/>
      <c r="D640" s="1585"/>
      <c r="E640" s="1594" t="s">
        <v>272</v>
      </c>
      <c r="F640" s="1595"/>
      <c r="G640" s="1595"/>
      <c r="H640" s="1596"/>
      <c r="I640" s="1460" t="s">
        <v>296</v>
      </c>
      <c r="J640" s="1372"/>
      <c r="K640" s="1418"/>
    </row>
    <row r="641" spans="1:12" ht="30" customHeight="1">
      <c r="A641" s="1587"/>
      <c r="B641" s="1597" t="s">
        <v>290</v>
      </c>
      <c r="C641" s="1598"/>
      <c r="D641" s="1599"/>
      <c r="E641" s="1579" t="s">
        <v>273</v>
      </c>
      <c r="F641" s="1553"/>
      <c r="G641" s="1553"/>
      <c r="H641" s="1554"/>
      <c r="I641" s="1459"/>
      <c r="J641" s="1372"/>
      <c r="K641" s="1418"/>
    </row>
    <row r="642" spans="1:12" ht="75.75" customHeight="1">
      <c r="A642" s="1588"/>
      <c r="B642" s="1590" t="s">
        <v>351</v>
      </c>
      <c r="C642" s="1591"/>
      <c r="D642" s="1592"/>
      <c r="E642" s="1579" t="s">
        <v>274</v>
      </c>
      <c r="F642" s="1553"/>
      <c r="G642" s="1553"/>
      <c r="H642" s="1554"/>
      <c r="I642" s="1459" t="s">
        <v>296</v>
      </c>
      <c r="J642" s="1372"/>
      <c r="K642" s="1418"/>
    </row>
    <row r="643" spans="1:12" ht="85.5" customHeight="1">
      <c r="A643" s="1589"/>
      <c r="B643" s="1593" t="s">
        <v>721</v>
      </c>
      <c r="C643" s="1591"/>
      <c r="D643" s="1592"/>
      <c r="E643" s="1580" t="s">
        <v>276</v>
      </c>
      <c r="F643" s="1581"/>
      <c r="G643" s="1581"/>
      <c r="H643" s="1582"/>
      <c r="I643" s="1461" t="s">
        <v>296</v>
      </c>
      <c r="J643" s="1372"/>
      <c r="K643" s="276"/>
    </row>
    <row r="644" spans="1:12">
      <c r="A644" s="276"/>
    </row>
    <row r="645" spans="1:12">
      <c r="A645" s="276"/>
    </row>
    <row r="646" spans="1:12" ht="21.75" customHeight="1">
      <c r="A646" s="1092" t="s">
        <v>205</v>
      </c>
      <c r="B646" s="278"/>
      <c r="C646" s="313"/>
      <c r="D646" s="278"/>
      <c r="E646" s="313"/>
      <c r="F646" s="35"/>
      <c r="G646" s="35"/>
      <c r="H646" s="35"/>
      <c r="I646" s="35"/>
      <c r="J646" s="35"/>
      <c r="K646" s="35"/>
    </row>
    <row r="647" spans="1:12" ht="112.5" customHeight="1">
      <c r="A647" s="987" t="s">
        <v>82</v>
      </c>
      <c r="B647" s="1560" t="s">
        <v>600</v>
      </c>
      <c r="C647" s="1561"/>
      <c r="D647" s="1561"/>
      <c r="E647" s="1561"/>
      <c r="F647" s="1561"/>
      <c r="G647" s="1561"/>
      <c r="H647" s="1561"/>
      <c r="I647" s="1561"/>
      <c r="J647" s="1562"/>
      <c r="K647" s="1563"/>
    </row>
    <row r="648" spans="1:12" ht="45" customHeight="1">
      <c r="A648" s="986" t="s">
        <v>107</v>
      </c>
      <c r="B648" s="1555" t="s">
        <v>83</v>
      </c>
      <c r="C648" s="1556"/>
      <c r="D648" s="1556"/>
      <c r="E648" s="1556"/>
      <c r="F648" s="1556"/>
      <c r="G648" s="1556"/>
      <c r="H648" s="1556"/>
      <c r="I648" s="1556"/>
      <c r="J648" s="1556"/>
      <c r="K648" s="1557"/>
    </row>
    <row r="649" spans="1:12" ht="45" customHeight="1">
      <c r="A649" s="709" t="s">
        <v>108</v>
      </c>
      <c r="B649" s="1552" t="s">
        <v>1112</v>
      </c>
      <c r="C649" s="1553"/>
      <c r="D649" s="1553"/>
      <c r="E649" s="1553"/>
      <c r="F649" s="1553"/>
      <c r="G649" s="1553"/>
      <c r="H649" s="1553"/>
      <c r="I649" s="1553"/>
      <c r="J649" s="1553"/>
      <c r="K649" s="1554"/>
    </row>
    <row r="650" spans="1:12" ht="42" customHeight="1">
      <c r="A650" s="709" t="s">
        <v>278</v>
      </c>
      <c r="B650" s="1552" t="s">
        <v>1113</v>
      </c>
      <c r="C650" s="1553"/>
      <c r="D650" s="1553"/>
      <c r="E650" s="1553"/>
      <c r="F650" s="1553"/>
      <c r="G650" s="1553"/>
      <c r="H650" s="1553"/>
      <c r="I650" s="1553"/>
      <c r="J650" s="1553"/>
      <c r="K650" s="1554"/>
      <c r="L650" s="1037"/>
    </row>
    <row r="651" spans="1:12" ht="48" customHeight="1">
      <c r="A651" s="709" t="s">
        <v>110</v>
      </c>
      <c r="B651" s="1555" t="s">
        <v>109</v>
      </c>
      <c r="C651" s="1556"/>
      <c r="D651" s="1556"/>
      <c r="E651" s="1556"/>
      <c r="F651" s="1556"/>
      <c r="G651" s="1556"/>
      <c r="H651" s="1556"/>
      <c r="I651" s="1556"/>
      <c r="J651" s="1556"/>
      <c r="K651" s="1557"/>
    </row>
    <row r="652" spans="1:12" ht="31.5" customHeight="1">
      <c r="A652" s="986" t="s">
        <v>329</v>
      </c>
      <c r="B652" s="1555" t="s">
        <v>111</v>
      </c>
      <c r="C652" s="1558"/>
      <c r="D652" s="1558"/>
      <c r="E652" s="1558"/>
      <c r="F652" s="1558"/>
      <c r="G652" s="1558"/>
      <c r="H652" s="1558"/>
      <c r="I652" s="1558"/>
      <c r="J652" s="1558"/>
      <c r="K652" s="1559"/>
    </row>
    <row r="653" spans="1:12" ht="51.75" customHeight="1">
      <c r="A653" s="1038" t="s">
        <v>112</v>
      </c>
      <c r="B653" s="1493" t="s">
        <v>113</v>
      </c>
      <c r="C653" s="1550"/>
      <c r="D653" s="1550"/>
      <c r="E653" s="1550"/>
      <c r="F653" s="1550"/>
      <c r="G653" s="1550"/>
      <c r="H653" s="1550"/>
      <c r="I653" s="1550"/>
      <c r="J653" s="1550"/>
      <c r="K653" s="1551"/>
    </row>
    <row r="654" spans="1:12">
      <c r="A654" s="285"/>
      <c r="B654" s="278"/>
      <c r="C654" s="313"/>
      <c r="D654" s="278"/>
      <c r="E654" s="313"/>
      <c r="F654" s="35"/>
      <c r="G654" s="35"/>
      <c r="H654" s="35"/>
      <c r="I654" s="35"/>
      <c r="J654" s="35"/>
      <c r="K654" s="35"/>
    </row>
    <row r="655" spans="1:12">
      <c r="A655" s="285"/>
      <c r="B655" s="278"/>
      <c r="C655" s="313"/>
      <c r="D655" s="278"/>
      <c r="E655" s="313"/>
      <c r="F655" s="35"/>
      <c r="G655" s="35"/>
      <c r="H655" s="35"/>
      <c r="I655" s="35"/>
      <c r="J655" s="35"/>
      <c r="K655" s="35"/>
    </row>
    <row r="656" spans="1:12" ht="15.75">
      <c r="A656" s="1092" t="s">
        <v>853</v>
      </c>
      <c r="B656" s="278"/>
      <c r="C656" s="313"/>
      <c r="D656" s="278"/>
      <c r="E656" s="313"/>
      <c r="F656" s="35"/>
      <c r="G656" s="35"/>
      <c r="H656" s="35"/>
      <c r="I656" s="35"/>
      <c r="J656" s="35"/>
      <c r="K656" s="35"/>
    </row>
    <row r="657" spans="1:6" ht="14.25" customHeight="1">
      <c r="A657" s="1097" t="s">
        <v>283</v>
      </c>
      <c r="B657" s="1097" t="s">
        <v>857</v>
      </c>
      <c r="C657" s="108"/>
    </row>
    <row r="658" spans="1:6" ht="15.75" customHeight="1">
      <c r="A658" s="1098" t="s">
        <v>282</v>
      </c>
      <c r="B658" s="1098" t="s">
        <v>282</v>
      </c>
      <c r="C658" s="108"/>
    </row>
    <row r="659" spans="1:6" ht="13.5" customHeight="1">
      <c r="A659" s="1098" t="s">
        <v>285</v>
      </c>
      <c r="B659" s="1098" t="s">
        <v>858</v>
      </c>
      <c r="C659" s="108"/>
    </row>
    <row r="660" spans="1:6" ht="14.25" customHeight="1">
      <c r="A660" s="1105" t="s">
        <v>284</v>
      </c>
      <c r="B660" s="1105" t="s">
        <v>859</v>
      </c>
      <c r="C660" s="108"/>
    </row>
    <row r="661" spans="1:6">
      <c r="A661" s="49"/>
      <c r="B661" s="1103"/>
      <c r="C661" s="108"/>
    </row>
    <row r="662" spans="1:6">
      <c r="A662" s="49"/>
      <c r="B662" s="1103"/>
      <c r="C662" s="108"/>
    </row>
    <row r="663" spans="1:6" ht="15.75">
      <c r="A663" s="1092" t="s">
        <v>286</v>
      </c>
      <c r="B663" s="347"/>
      <c r="C663" s="108"/>
    </row>
    <row r="664" spans="1:6" ht="15" customHeight="1">
      <c r="A664" s="1104" t="s">
        <v>855</v>
      </c>
      <c r="B664" s="1100" t="s">
        <v>565</v>
      </c>
      <c r="C664" s="430"/>
    </row>
    <row r="665" spans="1:6" ht="6" customHeight="1">
      <c r="A665" s="1099"/>
      <c r="B665" s="1101"/>
      <c r="C665" s="432"/>
    </row>
    <row r="666" spans="1:6" ht="15" customHeight="1">
      <c r="A666" s="918" t="s">
        <v>854</v>
      </c>
      <c r="B666" s="1110" t="s">
        <v>1079</v>
      </c>
      <c r="C666" s="432"/>
    </row>
    <row r="667" spans="1:6" ht="6" customHeight="1">
      <c r="A667" s="918"/>
      <c r="B667" s="1102"/>
      <c r="C667" s="432"/>
    </row>
    <row r="668" spans="1:6">
      <c r="A668" s="918" t="s">
        <v>856</v>
      </c>
      <c r="B668" s="1110" t="s">
        <v>1079</v>
      </c>
      <c r="C668" s="432"/>
    </row>
    <row r="669" spans="1:6" ht="6.75" customHeight="1">
      <c r="A669" s="918"/>
      <c r="B669" s="1102"/>
      <c r="C669" s="432"/>
    </row>
    <row r="670" spans="1:6">
      <c r="A670" s="1058" t="s">
        <v>1059</v>
      </c>
      <c r="B670" s="1111" t="s">
        <v>1075</v>
      </c>
      <c r="C670" s="433"/>
    </row>
    <row r="671" spans="1:6">
      <c r="F671" s="51"/>
    </row>
    <row r="672" spans="1:6">
      <c r="E672" s="33"/>
      <c r="F672" s="194"/>
    </row>
  </sheetData>
  <mergeCells count="70">
    <mergeCell ref="F617:H619"/>
    <mergeCell ref="F615:H615"/>
    <mergeCell ref="F591:G591"/>
    <mergeCell ref="E366:F366"/>
    <mergeCell ref="E362:F362"/>
    <mergeCell ref="F597:H606"/>
    <mergeCell ref="B613:E613"/>
    <mergeCell ref="F596:H596"/>
    <mergeCell ref="B596:E596"/>
    <mergeCell ref="F608:H608"/>
    <mergeCell ref="F611:H611"/>
    <mergeCell ref="E365:F365"/>
    <mergeCell ref="D634:H634"/>
    <mergeCell ref="B641:D641"/>
    <mergeCell ref="B635:C635"/>
    <mergeCell ref="D630:H630"/>
    <mergeCell ref="B630:C630"/>
    <mergeCell ref="D635:H635"/>
    <mergeCell ref="B639:D639"/>
    <mergeCell ref="E639:H639"/>
    <mergeCell ref="B634:C634"/>
    <mergeCell ref="E642:H642"/>
    <mergeCell ref="E643:H643"/>
    <mergeCell ref="B640:D640"/>
    <mergeCell ref="A640:A643"/>
    <mergeCell ref="B642:D642"/>
    <mergeCell ref="B643:D643"/>
    <mergeCell ref="E640:H640"/>
    <mergeCell ref="E641:H641"/>
    <mergeCell ref="A629:I629"/>
    <mergeCell ref="A624:I624"/>
    <mergeCell ref="B623:C623"/>
    <mergeCell ref="D623:H623"/>
    <mergeCell ref="A625:I625"/>
    <mergeCell ref="B626:C626"/>
    <mergeCell ref="D626:H628"/>
    <mergeCell ref="B627:C627"/>
    <mergeCell ref="B628:C628"/>
    <mergeCell ref="B653:K653"/>
    <mergeCell ref="B650:K650"/>
    <mergeCell ref="B651:K651"/>
    <mergeCell ref="B652:K652"/>
    <mergeCell ref="B647:K647"/>
    <mergeCell ref="B649:K649"/>
    <mergeCell ref="B648:K648"/>
    <mergeCell ref="E360:F360"/>
    <mergeCell ref="A14:D14"/>
    <mergeCell ref="B17:D17"/>
    <mergeCell ref="B19:D19"/>
    <mergeCell ref="E19:G19"/>
    <mergeCell ref="A343:B343"/>
    <mergeCell ref="B21:D21"/>
    <mergeCell ref="B22:D22"/>
    <mergeCell ref="B23:D23"/>
    <mergeCell ref="E21:G21"/>
    <mergeCell ref="B24:D24"/>
    <mergeCell ref="E355:F355"/>
    <mergeCell ref="E356:F356"/>
    <mergeCell ref="E361:F361"/>
    <mergeCell ref="F613:H613"/>
    <mergeCell ref="A347:B347"/>
    <mergeCell ref="B615:E615"/>
    <mergeCell ref="E354:F354"/>
    <mergeCell ref="E358:F358"/>
    <mergeCell ref="E359:F359"/>
    <mergeCell ref="A364:A366"/>
    <mergeCell ref="E363:F363"/>
    <mergeCell ref="E364:F364"/>
    <mergeCell ref="F609:H609"/>
    <mergeCell ref="E357:F357"/>
  </mergeCells>
  <phoneticPr fontId="3" type="noConversion"/>
  <dataValidations count="3">
    <dataValidation type="list" allowBlank="1" showInputMessage="1" showErrorMessage="1" sqref="A7">
      <formula1>#REF!</formula1>
    </dataValidation>
    <dataValidation type="list" allowBlank="1" showInputMessage="1" showErrorMessage="1" sqref="A8">
      <formula1>#REF!</formula1>
    </dataValidation>
    <dataValidation type="list" allowBlank="1" showInputMessage="1" showErrorMessage="1" sqref="A9">
      <formula1>#REF!</formula1>
    </dataValidation>
  </dataValidations>
  <hyperlinks>
    <hyperlink ref="B668" r:id="rId1"/>
    <hyperlink ref="B670" r:id="rId2"/>
    <hyperlink ref="B666" r:id="rId3"/>
  </hyperlinks>
  <pageMargins left="0.27559055118110237" right="0.19685039370078741" top="0.27559055118110237" bottom="0.31496062992125984" header="0" footer="0.15748031496062992"/>
  <pageSetup paperSize="9" scale="10" fitToHeight="40" orientation="landscape" r:id="rId4"/>
  <headerFooter alignWithMargins="0">
    <oddFooter>&amp;CPage &amp;P of &amp;N</oddFooter>
  </headerFooter>
  <rowBreaks count="3" manualBreakCount="3">
    <brk id="140" max="11" man="1"/>
    <brk id="207" max="11" man="1"/>
    <brk id="384" max="11" man="1"/>
  </rowBreaks>
  <ignoredErrors>
    <ignoredError sqref="C456:G456 C506:I506" numberStoredAsText="1"/>
  </ignoredErrors>
</worksheet>
</file>

<file path=xl/worksheets/sheet3.xml><?xml version="1.0" encoding="utf-8"?>
<worksheet xmlns="http://schemas.openxmlformats.org/spreadsheetml/2006/main" xmlns:r="http://schemas.openxmlformats.org/officeDocument/2006/relationships">
  <sheetPr codeName="Sheet16" enableFormatConditionsCalculation="0">
    <tabColor indexed="39"/>
  </sheetPr>
  <dimension ref="A1:AH40"/>
  <sheetViews>
    <sheetView view="pageBreakPreview" zoomScale="70" zoomScaleNormal="70" zoomScaleSheetLayoutView="70" workbookViewId="0">
      <selection activeCell="E10" sqref="E10"/>
    </sheetView>
  </sheetViews>
  <sheetFormatPr defaultRowHeight="12.75"/>
  <cols>
    <col min="1" max="1" width="63.42578125" style="69" customWidth="1"/>
    <col min="2" max="2" width="27.7109375" style="107" customWidth="1"/>
    <col min="3" max="3" width="25.5703125" style="59" customWidth="1"/>
    <col min="4" max="4" width="26.85546875" style="33" customWidth="1"/>
    <col min="5" max="5" width="30.42578125" style="33" customWidth="1"/>
    <col min="6" max="6" width="41.140625" style="33" customWidth="1"/>
    <col min="7" max="7" width="22.42578125" style="33" customWidth="1"/>
    <col min="8" max="8" width="24.42578125" style="33" customWidth="1"/>
    <col min="9" max="9" width="24.42578125" style="33" bestFit="1" customWidth="1"/>
    <col min="10" max="10" width="4.42578125" style="33" customWidth="1"/>
    <col min="11" max="16" width="18.28515625" style="35" customWidth="1"/>
    <col min="17" max="18" width="10.85546875" style="35" customWidth="1"/>
    <col min="19" max="33" width="9.140625" style="35"/>
    <col min="34" max="16384" width="9.140625" style="33"/>
  </cols>
  <sheetData>
    <row r="1" spans="1:33" ht="15.75">
      <c r="A1" s="649"/>
      <c r="B1" s="650">
        <v>14</v>
      </c>
      <c r="C1" s="650">
        <v>15</v>
      </c>
      <c r="D1" s="650">
        <v>16</v>
      </c>
      <c r="E1" s="651"/>
      <c r="F1" s="651"/>
      <c r="G1" s="651"/>
      <c r="H1" s="652"/>
      <c r="I1" s="339">
        <v>14</v>
      </c>
    </row>
    <row r="2" spans="1:33" ht="15.75">
      <c r="A2" s="531" t="s">
        <v>398</v>
      </c>
      <c r="B2" s="653"/>
      <c r="C2" s="653"/>
      <c r="D2" s="653"/>
      <c r="E2" s="653"/>
      <c r="F2" s="653"/>
      <c r="G2" s="653"/>
      <c r="H2" s="653"/>
      <c r="I2" s="906"/>
      <c r="J2" s="35"/>
    </row>
    <row r="3" spans="1:33" ht="15.75">
      <c r="A3" s="654" t="s">
        <v>622</v>
      </c>
      <c r="B3" s="278"/>
      <c r="C3" s="655"/>
      <c r="D3" s="656"/>
      <c r="E3" s="656"/>
      <c r="F3" s="657"/>
      <c r="G3" s="657"/>
      <c r="H3" s="656"/>
      <c r="I3" s="65"/>
      <c r="J3" s="35"/>
    </row>
    <row r="4" spans="1:33" ht="15.75">
      <c r="A4" s="658"/>
      <c r="B4" s="907" t="s">
        <v>430</v>
      </c>
      <c r="C4" s="907" t="s">
        <v>432</v>
      </c>
      <c r="D4" s="544"/>
      <c r="E4" s="907"/>
      <c r="F4" s="907"/>
      <c r="G4" s="907"/>
      <c r="H4" s="907"/>
      <c r="I4" s="65"/>
      <c r="J4" s="35"/>
      <c r="AE4" s="33"/>
      <c r="AF4" s="33"/>
      <c r="AG4" s="33"/>
    </row>
    <row r="5" spans="1:33" ht="15.75">
      <c r="A5" s="660"/>
      <c r="B5" s="661" t="s">
        <v>15</v>
      </c>
      <c r="C5" s="1234" t="s">
        <v>10</v>
      </c>
      <c r="D5" s="661"/>
      <c r="E5" s="661"/>
      <c r="F5" s="661"/>
      <c r="G5" s="661"/>
      <c r="H5" s="661"/>
      <c r="I5" s="65"/>
      <c r="J5" s="35"/>
      <c r="AE5" s="33"/>
      <c r="AF5" s="33"/>
      <c r="AG5" s="33"/>
    </row>
    <row r="6" spans="1:33" ht="15.75">
      <c r="A6" s="662" t="s">
        <v>399</v>
      </c>
      <c r="B6" s="1232" t="s">
        <v>405</v>
      </c>
      <c r="C6" s="1233" t="s">
        <v>406</v>
      </c>
      <c r="D6" s="663"/>
      <c r="E6" s="547"/>
      <c r="F6" s="547"/>
      <c r="G6" s="547"/>
      <c r="H6" s="547"/>
      <c r="I6" s="65"/>
      <c r="J6" s="35"/>
      <c r="AE6" s="33"/>
      <c r="AF6" s="33"/>
      <c r="AG6" s="33"/>
    </row>
    <row r="7" spans="1:33" ht="15.75">
      <c r="A7" s="662" t="s">
        <v>407</v>
      </c>
      <c r="B7" s="1232" t="s">
        <v>922</v>
      </c>
      <c r="C7" s="1232">
        <v>27384650</v>
      </c>
      <c r="D7" s="663"/>
      <c r="E7" s="663"/>
      <c r="F7" s="663"/>
      <c r="G7" s="663"/>
      <c r="H7" s="663"/>
      <c r="I7" s="65"/>
      <c r="J7" s="35"/>
      <c r="AE7" s="33"/>
      <c r="AF7" s="33"/>
      <c r="AG7" s="33"/>
    </row>
    <row r="8" spans="1:33" ht="15.75">
      <c r="A8" s="662"/>
      <c r="B8" s="663"/>
      <c r="C8" s="663"/>
      <c r="D8" s="663"/>
      <c r="E8" s="663"/>
      <c r="F8" s="663"/>
      <c r="G8" s="663"/>
      <c r="H8" s="663"/>
      <c r="I8" s="65"/>
      <c r="J8" s="35"/>
      <c r="AE8" s="33"/>
      <c r="AF8" s="33"/>
      <c r="AG8" s="33"/>
    </row>
    <row r="9" spans="1:33" ht="15.75">
      <c r="A9" s="662" t="s">
        <v>658</v>
      </c>
      <c r="B9" s="1289" t="e">
        <f>'GMF MONTHLY INVESTOR REPORT'!#REF!</f>
        <v>#REF!</v>
      </c>
      <c r="C9" s="959" t="e">
        <f>'GMF MONTHLY INVESTOR REPORT'!#REF!</f>
        <v>#REF!</v>
      </c>
      <c r="D9" s="676"/>
      <c r="E9" s="665"/>
      <c r="F9" s="664"/>
      <c r="G9" s="676"/>
      <c r="H9" s="665"/>
      <c r="I9" s="65"/>
      <c r="J9" s="35"/>
      <c r="AE9" s="33"/>
      <c r="AF9" s="33"/>
      <c r="AG9" s="33"/>
    </row>
    <row r="10" spans="1:33" ht="15.75">
      <c r="A10" s="662" t="s">
        <v>1114</v>
      </c>
      <c r="B10" s="1289" t="e">
        <f>#REF!</f>
        <v>#REF!</v>
      </c>
      <c r="C10" s="959" t="e">
        <f>#REF!</f>
        <v>#REF!</v>
      </c>
      <c r="D10" s="676"/>
      <c r="E10" s="665"/>
      <c r="F10" s="664"/>
      <c r="G10" s="676"/>
      <c r="H10" s="665"/>
      <c r="I10" s="65"/>
      <c r="J10" s="35"/>
      <c r="AE10" s="33"/>
      <c r="AF10" s="33"/>
      <c r="AG10" s="33"/>
    </row>
    <row r="11" spans="1:33" ht="15.75">
      <c r="A11" s="662" t="s">
        <v>952</v>
      </c>
      <c r="B11" s="1289">
        <f>'GMF 2 CCY Amortisation'!G81</f>
        <v>146027638.20985916</v>
      </c>
      <c r="C11" s="959">
        <f>'GMF 2 CCY Amortisation'!Z82</f>
        <v>1933688.94</v>
      </c>
      <c r="D11" s="958"/>
      <c r="E11" s="959"/>
      <c r="F11" s="961"/>
      <c r="G11" s="958"/>
      <c r="H11" s="959"/>
      <c r="I11" s="65"/>
      <c r="J11" s="35"/>
      <c r="AE11" s="33"/>
      <c r="AF11" s="33"/>
      <c r="AG11" s="33"/>
    </row>
    <row r="12" spans="1:33" ht="15.75">
      <c r="A12" s="662" t="s">
        <v>953</v>
      </c>
      <c r="B12" s="1291">
        <v>0</v>
      </c>
      <c r="C12" s="960">
        <f>'GMF 2 CCY Amortisation'!H82</f>
        <v>498066311.06189919</v>
      </c>
      <c r="D12" s="1235"/>
      <c r="E12" s="1236"/>
      <c r="F12" s="1237"/>
      <c r="G12" s="1235"/>
      <c r="H12" s="1236"/>
      <c r="I12" s="65"/>
      <c r="J12" s="35"/>
      <c r="AE12" s="33"/>
      <c r="AF12" s="33"/>
      <c r="AG12" s="33"/>
    </row>
    <row r="13" spans="1:33" ht="15.75">
      <c r="A13" s="1284" t="s">
        <v>1082</v>
      </c>
      <c r="B13" s="1290">
        <f>B11+B12</f>
        <v>146027638.20985916</v>
      </c>
      <c r="C13" s="1288">
        <f>C11+C12</f>
        <v>500000000.00189918</v>
      </c>
      <c r="D13" s="1293"/>
      <c r="E13" s="1294"/>
      <c r="F13" s="1293"/>
      <c r="G13" s="1293"/>
      <c r="H13" s="1293"/>
      <c r="I13" s="65"/>
      <c r="J13" s="35"/>
      <c r="AE13" s="33"/>
      <c r="AF13" s="33"/>
      <c r="AG13" s="33"/>
    </row>
    <row r="14" spans="1:33" ht="16.5" thickBot="1">
      <c r="A14" s="662" t="s">
        <v>1078</v>
      </c>
      <c r="B14" s="1286" t="e">
        <f>B10-B11-B12</f>
        <v>#REF!</v>
      </c>
      <c r="C14" s="1286" t="e">
        <f>C10-C11-C12</f>
        <v>#REF!</v>
      </c>
      <c r="D14" s="1235"/>
      <c r="E14" s="1236"/>
      <c r="F14" s="1237"/>
      <c r="G14" s="1235"/>
      <c r="H14" s="1236"/>
      <c r="I14" s="65"/>
      <c r="J14" s="35"/>
      <c r="AE14" s="33"/>
      <c r="AF14" s="33"/>
      <c r="AG14" s="33"/>
    </row>
    <row r="15" spans="1:33" ht="16.5" thickTop="1">
      <c r="A15" s="662"/>
      <c r="B15" s="666"/>
      <c r="C15" s="666"/>
      <c r="D15" s="1238"/>
      <c r="E15" s="1295"/>
      <c r="F15" s="1238"/>
      <c r="G15" s="1238"/>
      <c r="H15" s="1238"/>
      <c r="I15" s="65"/>
      <c r="J15" s="35"/>
      <c r="AE15" s="33"/>
      <c r="AF15" s="33"/>
      <c r="AG15" s="33"/>
    </row>
    <row r="16" spans="1:33" ht="15.75">
      <c r="A16" s="662" t="s">
        <v>99</v>
      </c>
      <c r="B16" s="959">
        <f>'GMF 2 GBP Amortisation'!G3</f>
        <v>547472191.47000003</v>
      </c>
      <c r="C16" s="959">
        <f>'GMF 2 GBP Amortisation'!H3</f>
        <v>500000000</v>
      </c>
      <c r="D16" s="1239"/>
      <c r="E16" s="1239"/>
      <c r="F16" s="1239"/>
      <c r="G16" s="1239"/>
      <c r="H16" s="1239"/>
      <c r="I16" s="65"/>
      <c r="J16" s="35"/>
      <c r="AE16" s="33"/>
      <c r="AF16" s="33"/>
      <c r="AG16" s="33"/>
    </row>
    <row r="17" spans="1:34" ht="15.75">
      <c r="A17" s="662" t="s">
        <v>1115</v>
      </c>
      <c r="B17" s="959" t="e">
        <f>#REF!</f>
        <v>#REF!</v>
      </c>
      <c r="C17" s="959" t="e">
        <f>#REF!</f>
        <v>#REF!</v>
      </c>
      <c r="D17" s="666"/>
      <c r="E17" s="666"/>
      <c r="F17" s="666"/>
      <c r="G17" s="666"/>
      <c r="H17" s="666"/>
      <c r="I17" s="65"/>
      <c r="J17" s="35"/>
      <c r="AE17" s="33"/>
      <c r="AF17" s="33"/>
      <c r="AG17" s="33"/>
    </row>
    <row r="18" spans="1:34" ht="15.75">
      <c r="A18" s="662" t="s">
        <v>100</v>
      </c>
      <c r="B18" s="959">
        <f>'GMF 2 GBP Amortisation'!G81</f>
        <v>76982254.314860642</v>
      </c>
      <c r="C18" s="959">
        <f>'GMF 2 GBP Amortisation'!Z82</f>
        <v>1933688.94</v>
      </c>
      <c r="D18" s="1236"/>
      <c r="E18" s="1236"/>
      <c r="F18" s="1236"/>
      <c r="G18" s="1236"/>
      <c r="H18" s="1236"/>
      <c r="I18" s="65"/>
      <c r="J18" s="35"/>
      <c r="AE18" s="33"/>
      <c r="AF18" s="33"/>
      <c r="AG18" s="33"/>
    </row>
    <row r="19" spans="1:34" ht="15.75">
      <c r="A19" s="662" t="s">
        <v>101</v>
      </c>
      <c r="B19" s="1292">
        <v>0</v>
      </c>
      <c r="C19" s="960">
        <f>'GMF 2 GBP Amortisation'!H82</f>
        <v>498066311.06189919</v>
      </c>
      <c r="D19" s="1236"/>
      <c r="E19" s="1236"/>
      <c r="F19" s="1236"/>
      <c r="G19" s="1236"/>
      <c r="H19" s="1236"/>
      <c r="I19" s="65"/>
      <c r="J19" s="35"/>
      <c r="AE19" s="33"/>
      <c r="AF19" s="33"/>
      <c r="AG19" s="33"/>
    </row>
    <row r="20" spans="1:34" ht="16.5" thickBot="1">
      <c r="A20" s="662" t="s">
        <v>1078</v>
      </c>
      <c r="B20" s="1285" t="e">
        <f>B17-B18</f>
        <v>#REF!</v>
      </c>
      <c r="C20" s="1285" t="e">
        <f>C17-C18-C19</f>
        <v>#REF!</v>
      </c>
      <c r="D20" s="1236"/>
      <c r="E20" s="1236"/>
      <c r="F20" s="1236"/>
      <c r="G20" s="1236"/>
      <c r="H20" s="1236"/>
      <c r="I20" s="65"/>
      <c r="J20" s="35"/>
      <c r="AE20" s="33"/>
      <c r="AF20" s="33"/>
      <c r="AG20" s="33"/>
    </row>
    <row r="21" spans="1:34" ht="16.5" thickTop="1">
      <c r="A21" s="662"/>
      <c r="B21" s="1236"/>
      <c r="C21" s="1236"/>
      <c r="D21" s="1236"/>
      <c r="E21" s="1236"/>
      <c r="F21" s="1236"/>
      <c r="G21" s="1236"/>
      <c r="H21" s="1236"/>
      <c r="I21" s="65"/>
      <c r="J21" s="35"/>
      <c r="AE21" s="33"/>
      <c r="AF21" s="33"/>
      <c r="AG21" s="33"/>
    </row>
    <row r="22" spans="1:34" ht="15.75">
      <c r="A22" s="662" t="s">
        <v>740</v>
      </c>
      <c r="B22" s="663" t="e">
        <f>'GMF MONTHLY INVESTOR REPORT'!#REF!</f>
        <v>#REF!</v>
      </c>
      <c r="C22" s="663" t="e">
        <f>'GMF MONTHLY INVESTOR REPORT'!#REF!</f>
        <v>#REF!</v>
      </c>
      <c r="D22" s="663"/>
      <c r="E22" s="663"/>
      <c r="F22" s="663"/>
      <c r="G22" s="663"/>
      <c r="H22" s="663"/>
      <c r="I22" s="65"/>
      <c r="J22" s="35"/>
      <c r="AE22" s="33"/>
      <c r="AF22" s="33"/>
      <c r="AG22" s="33"/>
    </row>
    <row r="23" spans="1:34" ht="15.75">
      <c r="A23" s="662" t="s">
        <v>665</v>
      </c>
      <c r="B23" s="667" t="e">
        <f>'GMF MONTHLY INVESTOR REPORT'!#REF!</f>
        <v>#REF!</v>
      </c>
      <c r="C23" s="667" t="e">
        <f>'GMF MONTHLY INVESTOR REPORT'!#REF!</f>
        <v>#REF!</v>
      </c>
      <c r="D23" s="667"/>
      <c r="E23" s="667"/>
      <c r="F23" s="667"/>
      <c r="G23" s="667"/>
      <c r="H23" s="667"/>
      <c r="I23" s="65"/>
      <c r="J23" s="35"/>
      <c r="AE23" s="33"/>
      <c r="AF23" s="33"/>
      <c r="AG23" s="33"/>
    </row>
    <row r="24" spans="1:34" ht="15.75">
      <c r="A24" s="662" t="s">
        <v>673</v>
      </c>
      <c r="B24" s="668" t="e">
        <f>'GMF MONTHLY INVESTOR REPORT'!#REF!</f>
        <v>#REF!</v>
      </c>
      <c r="C24" s="668" t="e">
        <f>'GMF MONTHLY INVESTOR REPORT'!#REF!</f>
        <v>#REF!</v>
      </c>
      <c r="D24" s="668"/>
      <c r="E24" s="668"/>
      <c r="F24" s="668"/>
      <c r="G24" s="668"/>
      <c r="H24" s="668"/>
      <c r="I24" s="1464"/>
      <c r="J24" s="122"/>
      <c r="K24" s="122"/>
      <c r="L24" s="122"/>
      <c r="M24" s="122"/>
      <c r="N24" s="122"/>
      <c r="O24" s="122"/>
      <c r="P24" s="122"/>
      <c r="Q24" s="122"/>
      <c r="R24" s="122"/>
      <c r="S24" s="122"/>
      <c r="T24" s="122"/>
      <c r="U24" s="122"/>
      <c r="V24" s="122"/>
      <c r="W24" s="122"/>
      <c r="X24" s="122"/>
      <c r="Y24" s="122"/>
      <c r="Z24" s="122"/>
      <c r="AA24" s="122"/>
      <c r="AB24" s="122"/>
      <c r="AC24" s="122"/>
      <c r="AD24" s="122"/>
      <c r="AE24" s="121"/>
      <c r="AF24" s="121"/>
      <c r="AG24" s="121"/>
      <c r="AH24" s="121"/>
    </row>
    <row r="25" spans="1:34" ht="15.75">
      <c r="A25" s="662" t="s">
        <v>674</v>
      </c>
      <c r="B25" s="659" t="e">
        <f>'GMF MONTHLY INVESTOR REPORT'!#REF!</f>
        <v>#REF!</v>
      </c>
      <c r="C25" s="659" t="e">
        <f>'GMF MONTHLY INVESTOR REPORT'!#REF!</f>
        <v>#REF!</v>
      </c>
      <c r="D25" s="659"/>
      <c r="E25" s="659"/>
      <c r="F25" s="659"/>
      <c r="G25" s="659"/>
      <c r="H25" s="659"/>
      <c r="I25" s="1465"/>
      <c r="J25" s="123"/>
      <c r="K25" s="123"/>
      <c r="L25" s="123"/>
      <c r="M25" s="123"/>
      <c r="N25" s="123"/>
      <c r="O25" s="123"/>
      <c r="P25" s="123"/>
      <c r="Q25" s="123"/>
      <c r="R25" s="123"/>
      <c r="S25" s="123"/>
      <c r="T25" s="123"/>
      <c r="U25" s="123"/>
      <c r="V25" s="123"/>
      <c r="W25" s="123"/>
      <c r="X25" s="123"/>
      <c r="Y25" s="123"/>
      <c r="Z25" s="123"/>
      <c r="AA25" s="123"/>
      <c r="AB25" s="123"/>
      <c r="AC25" s="123"/>
      <c r="AD25" s="123"/>
      <c r="AE25" s="121"/>
      <c r="AF25" s="121"/>
      <c r="AG25" s="121"/>
      <c r="AH25" s="121"/>
    </row>
    <row r="26" spans="1:34" ht="15.75">
      <c r="A26" s="662" t="s">
        <v>675</v>
      </c>
      <c r="B26" s="659" t="e">
        <f>'GMF MONTHLY INVESTOR REPORT'!#REF!</f>
        <v>#REF!</v>
      </c>
      <c r="C26" s="659" t="e">
        <f>'GMF MONTHLY INVESTOR REPORT'!#REF!</f>
        <v>#REF!</v>
      </c>
      <c r="D26" s="659"/>
      <c r="E26" s="659"/>
      <c r="F26" s="659"/>
      <c r="G26" s="659"/>
      <c r="H26" s="659"/>
      <c r="I26" s="65"/>
      <c r="J26" s="35"/>
      <c r="AE26" s="33"/>
      <c r="AF26" s="33"/>
      <c r="AG26" s="33"/>
    </row>
    <row r="27" spans="1:34" ht="15.75">
      <c r="A27" s="549"/>
      <c r="B27" s="669"/>
      <c r="C27" s="669"/>
      <c r="D27" s="670"/>
      <c r="E27" s="670"/>
      <c r="F27" s="669"/>
      <c r="G27" s="669"/>
      <c r="H27" s="669"/>
      <c r="I27" s="67"/>
      <c r="J27" s="35"/>
      <c r="AF27" s="33"/>
      <c r="AG27" s="33"/>
    </row>
    <row r="28" spans="1:34" ht="15.75">
      <c r="A28" s="671"/>
      <c r="B28" s="672"/>
      <c r="C28" s="652"/>
      <c r="D28" s="673"/>
      <c r="E28" s="673"/>
      <c r="F28" s="652"/>
      <c r="G28" s="652"/>
      <c r="H28" s="652"/>
      <c r="I28" s="35"/>
      <c r="J28" s="35"/>
      <c r="AF28" s="33"/>
      <c r="AG28" s="33"/>
    </row>
    <row r="30" spans="1:34">
      <c r="A30" s="115" t="s">
        <v>1081</v>
      </c>
      <c r="B30" s="678" t="s">
        <v>102</v>
      </c>
      <c r="C30" s="679" t="s">
        <v>103</v>
      </c>
      <c r="D30" s="32" t="s">
        <v>104</v>
      </c>
      <c r="E30" s="32" t="s">
        <v>105</v>
      </c>
      <c r="F30" s="32" t="s">
        <v>104</v>
      </c>
    </row>
    <row r="32" spans="1:34" ht="93.75" customHeight="1">
      <c r="A32" s="51" t="s">
        <v>106</v>
      </c>
      <c r="B32" s="1469">
        <f>C12</f>
        <v>498066311.06189919</v>
      </c>
      <c r="C32" s="1470" t="s">
        <v>378</v>
      </c>
      <c r="D32" s="1471" t="s">
        <v>1105</v>
      </c>
      <c r="E32" s="1472" t="s">
        <v>490</v>
      </c>
      <c r="F32" s="675" t="s">
        <v>923</v>
      </c>
      <c r="G32" s="34"/>
      <c r="H32" s="34"/>
    </row>
    <row r="33" spans="1:8">
      <c r="G33" s="34"/>
    </row>
    <row r="34" spans="1:8">
      <c r="G34" s="34"/>
    </row>
    <row r="35" spans="1:8" ht="76.5">
      <c r="A35" s="51" t="s">
        <v>1116</v>
      </c>
      <c r="B35" s="1468">
        <f>B19</f>
        <v>0</v>
      </c>
      <c r="C35" s="1470" t="s">
        <v>378</v>
      </c>
      <c r="D35" s="1471" t="s">
        <v>1105</v>
      </c>
      <c r="E35" s="1472" t="s">
        <v>1065</v>
      </c>
      <c r="F35" s="675" t="s">
        <v>964</v>
      </c>
      <c r="G35" s="34"/>
      <c r="H35" s="34"/>
    </row>
    <row r="36" spans="1:8">
      <c r="G36" s="34"/>
    </row>
    <row r="37" spans="1:8" ht="96">
      <c r="A37" s="51" t="s">
        <v>206</v>
      </c>
      <c r="B37" s="1467">
        <f>B12</f>
        <v>0</v>
      </c>
      <c r="C37" s="1306" t="s">
        <v>392</v>
      </c>
      <c r="D37" s="1466" t="s">
        <v>377</v>
      </c>
      <c r="E37" s="568" t="s">
        <v>490</v>
      </c>
      <c r="F37" s="680" t="s">
        <v>604</v>
      </c>
      <c r="G37" s="34"/>
      <c r="H37" s="34"/>
    </row>
    <row r="38" spans="1:8">
      <c r="G38" s="34"/>
    </row>
    <row r="39" spans="1:8">
      <c r="G39" s="34"/>
    </row>
    <row r="40" spans="1:8" ht="76.5" hidden="1">
      <c r="A40" s="69" t="s">
        <v>207</v>
      </c>
      <c r="B40" s="677" t="e">
        <f>#REF!</f>
        <v>#REF!</v>
      </c>
      <c r="C40" s="674" t="s">
        <v>1065</v>
      </c>
      <c r="D40" s="675" t="s">
        <v>964</v>
      </c>
      <c r="E40" s="568" t="s">
        <v>490</v>
      </c>
      <c r="F40" s="680" t="s">
        <v>208</v>
      </c>
      <c r="G40" s="34"/>
      <c r="H40" s="34"/>
    </row>
  </sheetData>
  <phoneticPr fontId="3" type="noConversion"/>
  <pageMargins left="0.66" right="0.15748031496062992" top="0.47244094488188981" bottom="0.11811023622047245" header="0" footer="0.17"/>
  <pageSetup paperSize="9" scale="47" fitToHeight="27" orientation="landscape" r:id="rId1"/>
  <headerFooter alignWithMargins="0">
    <oddFooter>&amp;CPage &amp;P of &amp;N</oddFooter>
  </headerFooter>
</worksheet>
</file>

<file path=xl/worksheets/sheet4.xml><?xml version="1.0" encoding="utf-8"?>
<worksheet xmlns="http://schemas.openxmlformats.org/spreadsheetml/2006/main" xmlns:r="http://schemas.openxmlformats.org/officeDocument/2006/relationships">
  <sheetPr codeName="Sheet13" enableFormatConditionsCalculation="0">
    <tabColor indexed="43"/>
  </sheetPr>
  <dimension ref="A1:DJ243"/>
  <sheetViews>
    <sheetView topLeftCell="U43" zoomScale="75" workbookViewId="0">
      <selection activeCell="K84" sqref="K84"/>
    </sheetView>
  </sheetViews>
  <sheetFormatPr defaultRowHeight="12.75"/>
  <cols>
    <col min="1" max="1" width="17.7109375" style="73" customWidth="1"/>
    <col min="2" max="2" width="20" style="73" bestFit="1" customWidth="1"/>
    <col min="3" max="3" width="19.5703125" style="73" customWidth="1"/>
    <col min="4" max="4" width="20" style="73" customWidth="1"/>
    <col min="5" max="5" width="17" style="73" bestFit="1" customWidth="1"/>
    <col min="6" max="6" width="16.5703125" style="73" bestFit="1" customWidth="1"/>
    <col min="7" max="8" width="15.28515625" style="73" bestFit="1" customWidth="1"/>
    <col min="9" max="9" width="14.28515625" style="73" bestFit="1" customWidth="1"/>
    <col min="10" max="11" width="15" style="73" customWidth="1"/>
    <col min="12" max="12" width="14" style="73" bestFit="1" customWidth="1"/>
    <col min="13" max="14" width="15" style="73" customWidth="1"/>
    <col min="15" max="15" width="15" style="73" bestFit="1" customWidth="1"/>
    <col min="16" max="17" width="15" style="73" customWidth="1"/>
    <col min="18" max="18" width="31.42578125" style="73" customWidth="1"/>
    <col min="19" max="19" width="20" style="37" customWidth="1"/>
    <col min="20" max="20" width="16.5703125" style="38" bestFit="1" customWidth="1"/>
    <col min="21" max="35" width="19" style="38" customWidth="1"/>
    <col min="36" max="36" width="11.7109375" style="37" customWidth="1"/>
    <col min="37" max="37" width="22.140625" style="37" customWidth="1"/>
    <col min="38" max="38" width="22" style="37" customWidth="1"/>
    <col min="39" max="39" width="21.42578125" style="37" customWidth="1"/>
    <col min="40" max="40" width="22.140625" style="37" customWidth="1"/>
    <col min="41" max="41" width="15" style="37" bestFit="1" customWidth="1"/>
    <col min="43" max="43" width="19.85546875" style="37" customWidth="1"/>
    <col min="44" max="44" width="16.7109375" style="37" customWidth="1"/>
    <col min="45" max="60" width="19" style="38" customWidth="1"/>
    <col min="61" max="61" width="9.140625" style="37"/>
    <col min="62" max="62" width="15" style="37" customWidth="1"/>
    <col min="63" max="63" width="12.42578125" style="37" bestFit="1" customWidth="1"/>
    <col min="64" max="64" width="11.42578125" style="37" bestFit="1" customWidth="1"/>
    <col min="65" max="69" width="12.42578125" style="37" bestFit="1" customWidth="1"/>
    <col min="70" max="70" width="11.42578125" style="37" bestFit="1" customWidth="1"/>
    <col min="71" max="71" width="12.28515625" style="37" bestFit="1" customWidth="1"/>
    <col min="72" max="76" width="11.42578125" style="37" bestFit="1" customWidth="1"/>
    <col min="77" max="77" width="12.42578125" style="37" bestFit="1" customWidth="1"/>
    <col min="78" max="78" width="11.42578125" style="37" bestFit="1" customWidth="1"/>
    <col min="79" max="79" width="22.28515625" style="37" customWidth="1"/>
    <col min="80" max="80" width="14" style="37" bestFit="1" customWidth="1"/>
    <col min="81" max="82" width="12.42578125" style="37" bestFit="1" customWidth="1"/>
    <col min="83" max="84" width="14" style="37" bestFit="1" customWidth="1"/>
    <col min="85" max="85" width="13.85546875" style="37" bestFit="1" customWidth="1"/>
    <col min="86" max="86" width="12.42578125" style="37" bestFit="1" customWidth="1"/>
    <col min="87" max="87" width="11.42578125" style="37" bestFit="1" customWidth="1"/>
    <col min="88" max="88" width="12.42578125" style="37" bestFit="1" customWidth="1"/>
    <col min="89" max="93" width="11.42578125" style="37" bestFit="1" customWidth="1"/>
    <col min="94" max="94" width="12.42578125" style="37" bestFit="1" customWidth="1"/>
    <col min="95" max="95" width="11.42578125" style="37" bestFit="1" customWidth="1"/>
    <col min="96" max="96" width="17.5703125" style="61" customWidth="1"/>
    <col min="97" max="97" width="9.140625" style="37"/>
    <col min="98" max="98" width="18.5703125" style="37" customWidth="1"/>
    <col min="99" max="99" width="19.7109375" style="37" customWidth="1"/>
    <col min="100" max="100" width="18" style="37" bestFit="1" customWidth="1"/>
    <col min="101" max="101" width="14.85546875" style="37" bestFit="1" customWidth="1"/>
    <col min="102" max="102" width="17" style="37" customWidth="1"/>
    <col min="103" max="104" width="16.28515625" style="37" bestFit="1" customWidth="1"/>
    <col min="105" max="105" width="14.85546875" style="37" bestFit="1" customWidth="1"/>
    <col min="106" max="106" width="16" style="37" customWidth="1"/>
    <col min="107" max="107" width="15.28515625" style="37" customWidth="1"/>
    <col min="108" max="108" width="17.140625" style="37" customWidth="1"/>
    <col min="109" max="109" width="16.5703125" style="37" customWidth="1"/>
    <col min="110" max="110" width="18" style="37" customWidth="1"/>
    <col min="111" max="111" width="17.42578125" style="37" customWidth="1"/>
    <col min="112" max="112" width="17.28515625" style="37" customWidth="1"/>
    <col min="113" max="113" width="17.85546875" style="37" customWidth="1"/>
    <col min="114" max="114" width="17.7109375" style="37" customWidth="1"/>
    <col min="115" max="16384" width="9.140625" style="73"/>
  </cols>
  <sheetData>
    <row r="1" spans="1:114" ht="31.5">
      <c r="A1" s="83" t="s">
        <v>1046</v>
      </c>
      <c r="B1" s="73" t="s">
        <v>827</v>
      </c>
      <c r="C1" s="73" t="s">
        <v>828</v>
      </c>
      <c r="D1" s="73" t="s">
        <v>829</v>
      </c>
      <c r="E1" s="73" t="s">
        <v>830</v>
      </c>
      <c r="F1" s="73" t="s">
        <v>831</v>
      </c>
      <c r="G1" s="73" t="s">
        <v>832</v>
      </c>
      <c r="H1" s="73" t="s">
        <v>833</v>
      </c>
      <c r="I1" s="73" t="s">
        <v>834</v>
      </c>
      <c r="J1" s="73" t="s">
        <v>835</v>
      </c>
      <c r="K1" s="73" t="s">
        <v>836</v>
      </c>
      <c r="L1" s="73" t="s">
        <v>837</v>
      </c>
      <c r="M1" s="73" t="s">
        <v>838</v>
      </c>
      <c r="N1" s="73" t="s">
        <v>839</v>
      </c>
      <c r="O1" s="73" t="s">
        <v>840</v>
      </c>
      <c r="P1" s="73" t="s">
        <v>841</v>
      </c>
      <c r="Q1" s="73" t="s">
        <v>842</v>
      </c>
      <c r="S1" s="60" t="s">
        <v>988</v>
      </c>
      <c r="T1" s="37" t="s">
        <v>827</v>
      </c>
      <c r="U1" s="37" t="s">
        <v>828</v>
      </c>
      <c r="V1" s="37" t="s">
        <v>829</v>
      </c>
      <c r="W1" s="37" t="s">
        <v>830</v>
      </c>
      <c r="X1" s="37" t="s">
        <v>831</v>
      </c>
      <c r="Y1" s="37" t="s">
        <v>832</v>
      </c>
      <c r="Z1" s="37" t="s">
        <v>833</v>
      </c>
      <c r="AA1" s="37" t="s">
        <v>834</v>
      </c>
      <c r="AB1" s="37" t="s">
        <v>835</v>
      </c>
      <c r="AC1" s="37" t="s">
        <v>836</v>
      </c>
      <c r="AD1" s="37" t="s">
        <v>837</v>
      </c>
      <c r="AE1" s="37" t="s">
        <v>838</v>
      </c>
      <c r="AF1" s="37" t="s">
        <v>839</v>
      </c>
      <c r="AG1" s="37" t="s">
        <v>840</v>
      </c>
      <c r="AH1" s="37" t="s">
        <v>841</v>
      </c>
      <c r="AI1" s="37" t="s">
        <v>842</v>
      </c>
      <c r="AK1" s="39" t="s">
        <v>843</v>
      </c>
      <c r="AL1" s="39" t="s">
        <v>844</v>
      </c>
      <c r="AM1" s="39" t="s">
        <v>845</v>
      </c>
      <c r="AN1" s="39" t="s">
        <v>846</v>
      </c>
      <c r="AO1" s="37" t="s">
        <v>138</v>
      </c>
      <c r="AQ1" s="60" t="s">
        <v>986</v>
      </c>
      <c r="AS1" s="37" t="s">
        <v>365</v>
      </c>
      <c r="AT1" s="37" t="s">
        <v>366</v>
      </c>
      <c r="AU1" s="37" t="s">
        <v>367</v>
      </c>
      <c r="AV1" s="37" t="s">
        <v>830</v>
      </c>
      <c r="AW1" s="37" t="s">
        <v>831</v>
      </c>
      <c r="AX1" s="37" t="s">
        <v>832</v>
      </c>
      <c r="AY1" s="37" t="s">
        <v>833</v>
      </c>
      <c r="AZ1" s="37" t="s">
        <v>834</v>
      </c>
      <c r="BA1" s="37" t="s">
        <v>835</v>
      </c>
      <c r="BB1" s="37" t="s">
        <v>836</v>
      </c>
      <c r="BC1" s="37" t="s">
        <v>837</v>
      </c>
      <c r="BD1" s="37" t="s">
        <v>838</v>
      </c>
      <c r="BE1" s="37" t="s">
        <v>839</v>
      </c>
      <c r="BF1" s="37" t="s">
        <v>840</v>
      </c>
      <c r="BG1" s="37" t="s">
        <v>841</v>
      </c>
      <c r="BH1" s="37" t="s">
        <v>842</v>
      </c>
      <c r="BJ1" s="62" t="s">
        <v>987</v>
      </c>
      <c r="BK1" s="37" t="s">
        <v>827</v>
      </c>
      <c r="BL1" s="37" t="s">
        <v>828</v>
      </c>
      <c r="BM1" s="37" t="s">
        <v>829</v>
      </c>
      <c r="BN1" s="37" t="s">
        <v>830</v>
      </c>
      <c r="BO1" s="37" t="s">
        <v>831</v>
      </c>
      <c r="BP1" s="37" t="s">
        <v>832</v>
      </c>
      <c r="BQ1" s="37" t="s">
        <v>833</v>
      </c>
      <c r="BR1" s="37" t="s">
        <v>834</v>
      </c>
      <c r="BS1" s="37" t="s">
        <v>835</v>
      </c>
      <c r="BT1" s="37" t="s">
        <v>836</v>
      </c>
      <c r="BU1" s="37" t="s">
        <v>837</v>
      </c>
      <c r="BV1" s="37" t="s">
        <v>838</v>
      </c>
      <c r="BW1" s="37" t="s">
        <v>839</v>
      </c>
      <c r="BX1" s="37" t="s">
        <v>840</v>
      </c>
      <c r="BY1" s="37" t="s">
        <v>841</v>
      </c>
      <c r="BZ1" s="37" t="s">
        <v>842</v>
      </c>
      <c r="CA1" s="62" t="s">
        <v>989</v>
      </c>
      <c r="CB1" s="37" t="s">
        <v>827</v>
      </c>
      <c r="CC1" s="37" t="s">
        <v>828</v>
      </c>
      <c r="CD1" s="37" t="s">
        <v>829</v>
      </c>
      <c r="CE1" s="37" t="s">
        <v>830</v>
      </c>
      <c r="CF1" s="37" t="s">
        <v>831</v>
      </c>
      <c r="CG1" s="37" t="s">
        <v>832</v>
      </c>
      <c r="CH1" s="37" t="s">
        <v>833</v>
      </c>
      <c r="CI1" s="37" t="s">
        <v>834</v>
      </c>
      <c r="CJ1" s="37" t="s">
        <v>835</v>
      </c>
      <c r="CK1" s="37" t="s">
        <v>836</v>
      </c>
      <c r="CL1" s="37" t="s">
        <v>837</v>
      </c>
      <c r="CM1" s="37" t="s">
        <v>838</v>
      </c>
      <c r="CN1" s="37" t="s">
        <v>839</v>
      </c>
      <c r="CO1" s="37" t="s">
        <v>840</v>
      </c>
      <c r="CP1" s="37" t="s">
        <v>841</v>
      </c>
      <c r="CQ1" s="37" t="s">
        <v>842</v>
      </c>
      <c r="CR1" s="61" t="s">
        <v>138</v>
      </c>
      <c r="CT1" s="61" t="s">
        <v>990</v>
      </c>
      <c r="CU1" s="37" t="s">
        <v>827</v>
      </c>
      <c r="CV1" s="37" t="s">
        <v>828</v>
      </c>
      <c r="CW1" s="37" t="s">
        <v>829</v>
      </c>
      <c r="CX1" s="37" t="s">
        <v>830</v>
      </c>
      <c r="CY1" s="37" t="s">
        <v>831</v>
      </c>
      <c r="CZ1" s="37" t="s">
        <v>832</v>
      </c>
      <c r="DA1" s="37" t="s">
        <v>833</v>
      </c>
      <c r="DB1" s="37" t="s">
        <v>834</v>
      </c>
      <c r="DC1" s="37" t="s">
        <v>835</v>
      </c>
      <c r="DD1" s="37" t="s">
        <v>836</v>
      </c>
      <c r="DE1" s="37" t="s">
        <v>837</v>
      </c>
      <c r="DF1" s="37" t="s">
        <v>838</v>
      </c>
      <c r="DG1" s="37" t="s">
        <v>839</v>
      </c>
      <c r="DH1" s="37" t="s">
        <v>840</v>
      </c>
      <c r="DI1" s="37" t="s">
        <v>841</v>
      </c>
      <c r="DJ1" s="37" t="s">
        <v>842</v>
      </c>
    </row>
    <row r="2" spans="1:114" ht="15.75">
      <c r="A2" s="83"/>
      <c r="D2" s="190">
        <f>+C9-C10</f>
        <v>71876769.333666742</v>
      </c>
      <c r="S2" s="60"/>
      <c r="T2" s="37"/>
      <c r="U2" s="37"/>
      <c r="V2" s="37"/>
      <c r="W2" s="37"/>
      <c r="X2" s="37"/>
      <c r="Y2" s="37"/>
      <c r="Z2" s="37"/>
      <c r="AA2" s="37"/>
      <c r="AB2" s="37"/>
      <c r="AC2" s="37"/>
      <c r="AD2" s="37"/>
      <c r="AE2" s="37"/>
      <c r="AF2" s="37"/>
      <c r="AG2" s="37"/>
      <c r="AH2" s="37"/>
      <c r="AI2" s="37"/>
      <c r="AK2" s="39"/>
      <c r="AL2" s="39"/>
      <c r="AM2" s="39"/>
      <c r="AN2" s="39"/>
      <c r="AQ2" s="60"/>
      <c r="AS2" s="37"/>
      <c r="AT2" s="37"/>
      <c r="AU2" s="37"/>
      <c r="AV2" s="37"/>
      <c r="AW2" s="37"/>
      <c r="AX2" s="37"/>
      <c r="AY2" s="37"/>
      <c r="AZ2" s="37"/>
      <c r="BA2" s="37"/>
      <c r="BB2" s="37"/>
      <c r="BC2" s="37"/>
      <c r="BD2" s="37"/>
      <c r="BE2" s="37"/>
      <c r="BF2" s="37"/>
      <c r="BG2" s="37"/>
      <c r="BH2" s="37"/>
      <c r="BJ2" s="62"/>
      <c r="CA2" s="62"/>
    </row>
    <row r="3" spans="1:114">
      <c r="A3" s="74" t="s">
        <v>847</v>
      </c>
      <c r="B3" s="74" t="s">
        <v>848</v>
      </c>
      <c r="C3" s="74" t="s">
        <v>848</v>
      </c>
      <c r="D3" s="74" t="s">
        <v>848</v>
      </c>
      <c r="E3" s="74" t="s">
        <v>848</v>
      </c>
      <c r="F3" s="74" t="s">
        <v>848</v>
      </c>
      <c r="G3" s="74" t="s">
        <v>848</v>
      </c>
      <c r="H3" s="74" t="s">
        <v>848</v>
      </c>
      <c r="I3" s="74" t="s">
        <v>848</v>
      </c>
      <c r="J3" s="74" t="s">
        <v>848</v>
      </c>
      <c r="K3" s="74" t="s">
        <v>848</v>
      </c>
      <c r="L3" s="74" t="s">
        <v>848</v>
      </c>
      <c r="M3" s="74" t="s">
        <v>848</v>
      </c>
      <c r="N3" s="74" t="s">
        <v>848</v>
      </c>
      <c r="O3" s="74" t="s">
        <v>848</v>
      </c>
      <c r="P3" s="74" t="s">
        <v>848</v>
      </c>
      <c r="Q3" s="74" t="s">
        <v>848</v>
      </c>
      <c r="S3" s="40">
        <v>39030</v>
      </c>
      <c r="AJ3" s="40">
        <v>39030</v>
      </c>
      <c r="AK3" s="187">
        <f t="shared" ref="AK3:AN4" si="0">+SUM(B3:H3)</f>
        <v>0</v>
      </c>
      <c r="AL3" s="43">
        <f t="shared" si="0"/>
        <v>0</v>
      </c>
      <c r="AM3" s="43">
        <f t="shared" si="0"/>
        <v>0</v>
      </c>
      <c r="AN3" s="43">
        <f t="shared" si="0"/>
        <v>0</v>
      </c>
      <c r="AO3" s="43">
        <f>+SUM(AK3:AN3)</f>
        <v>0</v>
      </c>
      <c r="AR3" s="40">
        <v>39030</v>
      </c>
      <c r="AS3" s="63">
        <v>0</v>
      </c>
      <c r="AT3" s="63">
        <v>0</v>
      </c>
      <c r="AU3" s="63">
        <v>0</v>
      </c>
      <c r="AV3" s="63">
        <v>0</v>
      </c>
      <c r="AW3" s="63">
        <v>0</v>
      </c>
      <c r="AX3" s="63">
        <v>0</v>
      </c>
      <c r="AY3" s="63">
        <v>0</v>
      </c>
      <c r="AZ3" s="63">
        <v>0</v>
      </c>
      <c r="BA3" s="63">
        <v>0</v>
      </c>
      <c r="BB3" s="63">
        <v>0</v>
      </c>
      <c r="BC3" s="63">
        <v>0</v>
      </c>
      <c r="BD3" s="63">
        <v>0</v>
      </c>
      <c r="BE3" s="63">
        <v>0</v>
      </c>
      <c r="BF3" s="63">
        <v>0</v>
      </c>
      <c r="BG3" s="63">
        <v>0</v>
      </c>
      <c r="BH3" s="63">
        <v>0</v>
      </c>
      <c r="BJ3" s="40"/>
      <c r="BK3" s="43"/>
      <c r="BL3" s="43"/>
      <c r="BM3" s="43"/>
      <c r="BN3" s="43"/>
      <c r="BO3" s="43"/>
      <c r="BP3" s="43"/>
      <c r="BQ3" s="43"/>
      <c r="BR3" s="43"/>
      <c r="BS3" s="43"/>
      <c r="BT3" s="43"/>
      <c r="BU3" s="43"/>
      <c r="BV3" s="43"/>
      <c r="BW3" s="43"/>
      <c r="BX3" s="43"/>
      <c r="BY3" s="43"/>
      <c r="BZ3" s="43"/>
      <c r="CA3" s="40">
        <v>39030</v>
      </c>
      <c r="CB3" s="43">
        <f>+BK3</f>
        <v>0</v>
      </c>
      <c r="CC3" s="43">
        <f t="shared" ref="CC3:CQ4" si="1">+BL3</f>
        <v>0</v>
      </c>
      <c r="CD3" s="43">
        <f t="shared" si="1"/>
        <v>0</v>
      </c>
      <c r="CE3" s="43">
        <f t="shared" si="1"/>
        <v>0</v>
      </c>
      <c r="CF3" s="43">
        <f t="shared" si="1"/>
        <v>0</v>
      </c>
      <c r="CG3" s="43">
        <f t="shared" si="1"/>
        <v>0</v>
      </c>
      <c r="CH3" s="43">
        <f t="shared" si="1"/>
        <v>0</v>
      </c>
      <c r="CI3" s="43">
        <f t="shared" si="1"/>
        <v>0</v>
      </c>
      <c r="CJ3" s="43">
        <f t="shared" si="1"/>
        <v>0</v>
      </c>
      <c r="CK3" s="43">
        <f t="shared" si="1"/>
        <v>0</v>
      </c>
      <c r="CL3" s="43">
        <f t="shared" si="1"/>
        <v>0</v>
      </c>
      <c r="CM3" s="43">
        <f t="shared" si="1"/>
        <v>0</v>
      </c>
      <c r="CN3" s="43">
        <f t="shared" si="1"/>
        <v>0</v>
      </c>
      <c r="CO3" s="43">
        <f t="shared" si="1"/>
        <v>0</v>
      </c>
      <c r="CP3" s="43">
        <f t="shared" si="1"/>
        <v>0</v>
      </c>
      <c r="CQ3" s="43">
        <f t="shared" si="1"/>
        <v>0</v>
      </c>
      <c r="CR3" s="64">
        <f>+SUM(CB3:CQ3)</f>
        <v>0</v>
      </c>
      <c r="CT3" s="40">
        <v>39030</v>
      </c>
      <c r="CU3" s="71">
        <f>+B4</f>
        <v>1900000000</v>
      </c>
      <c r="CV3" s="71">
        <f t="shared" ref="CV3:DJ3" si="2">+C4</f>
        <v>455000000</v>
      </c>
      <c r="CW3" s="71">
        <f t="shared" si="2"/>
        <v>610000000</v>
      </c>
      <c r="CX3" s="71">
        <f t="shared" si="2"/>
        <v>2596000000</v>
      </c>
      <c r="CY3" s="71">
        <f t="shared" si="2"/>
        <v>1698999999.9999998</v>
      </c>
      <c r="CZ3" s="71">
        <f t="shared" si="2"/>
        <v>1038500000</v>
      </c>
      <c r="DA3" s="71">
        <f t="shared" si="2"/>
        <v>500000000</v>
      </c>
      <c r="DB3" s="71">
        <f t="shared" si="2"/>
        <v>84500000</v>
      </c>
      <c r="DC3" s="71">
        <f t="shared" si="2"/>
        <v>167000000</v>
      </c>
      <c r="DD3" s="71">
        <f t="shared" si="2"/>
        <v>23000000</v>
      </c>
      <c r="DE3" s="71">
        <f t="shared" si="2"/>
        <v>74500000</v>
      </c>
      <c r="DF3" s="71">
        <f t="shared" si="2"/>
        <v>91000000</v>
      </c>
      <c r="DG3" s="71">
        <f t="shared" si="2"/>
        <v>56000000</v>
      </c>
      <c r="DH3" s="71">
        <f t="shared" si="2"/>
        <v>70000000</v>
      </c>
      <c r="DI3" s="71">
        <f t="shared" si="2"/>
        <v>211000000.00000003</v>
      </c>
      <c r="DJ3" s="71">
        <f t="shared" si="2"/>
        <v>20000000</v>
      </c>
    </row>
    <row r="4" spans="1:114">
      <c r="A4" s="75">
        <v>39041</v>
      </c>
      <c r="B4" s="76">
        <f t="shared" ref="B4:B37" si="3">+B91</f>
        <v>1900000000</v>
      </c>
      <c r="C4" s="76">
        <f t="shared" ref="C4:Q4" si="4">+C91</f>
        <v>455000000</v>
      </c>
      <c r="D4" s="76">
        <f t="shared" si="4"/>
        <v>610000000</v>
      </c>
      <c r="E4" s="76">
        <f t="shared" si="4"/>
        <v>2596000000</v>
      </c>
      <c r="F4" s="76">
        <f t="shared" si="4"/>
        <v>1698999999.9999998</v>
      </c>
      <c r="G4" s="76">
        <f t="shared" si="4"/>
        <v>1038500000</v>
      </c>
      <c r="H4" s="76">
        <f t="shared" si="4"/>
        <v>500000000</v>
      </c>
      <c r="I4" s="76">
        <f t="shared" si="4"/>
        <v>84500000</v>
      </c>
      <c r="J4" s="76">
        <f t="shared" si="4"/>
        <v>167000000</v>
      </c>
      <c r="K4" s="76">
        <f t="shared" si="4"/>
        <v>23000000</v>
      </c>
      <c r="L4" s="76">
        <f t="shared" si="4"/>
        <v>74500000</v>
      </c>
      <c r="M4" s="76">
        <f t="shared" si="4"/>
        <v>91000000</v>
      </c>
      <c r="N4" s="76">
        <f t="shared" si="4"/>
        <v>56000000</v>
      </c>
      <c r="O4" s="76">
        <f t="shared" si="4"/>
        <v>70000000</v>
      </c>
      <c r="P4" s="76">
        <f t="shared" si="4"/>
        <v>211000000.00000003</v>
      </c>
      <c r="Q4" s="76">
        <f t="shared" si="4"/>
        <v>20000000</v>
      </c>
      <c r="S4" s="40">
        <v>39041</v>
      </c>
      <c r="T4" s="82"/>
      <c r="U4" s="42"/>
      <c r="AJ4" s="40">
        <v>39041</v>
      </c>
      <c r="AK4" s="187">
        <f t="shared" si="0"/>
        <v>8798500000</v>
      </c>
      <c r="AL4" s="43">
        <f t="shared" si="0"/>
        <v>6983000000</v>
      </c>
      <c r="AM4" s="43">
        <f t="shared" si="0"/>
        <v>6695000000</v>
      </c>
      <c r="AN4" s="43">
        <f t="shared" si="0"/>
        <v>6108000000</v>
      </c>
      <c r="AO4" s="43">
        <f>+SUM(AK4:AN4)</f>
        <v>28584500000</v>
      </c>
      <c r="AR4" s="40">
        <v>39041</v>
      </c>
      <c r="AS4" s="63">
        <v>0</v>
      </c>
      <c r="AT4" s="63">
        <v>0</v>
      </c>
      <c r="AU4" s="63">
        <v>0</v>
      </c>
      <c r="AV4" s="63">
        <v>0</v>
      </c>
      <c r="AW4" s="63">
        <v>0</v>
      </c>
      <c r="AX4" s="63">
        <v>0</v>
      </c>
      <c r="AY4" s="63">
        <v>0</v>
      </c>
      <c r="AZ4" s="63">
        <v>0</v>
      </c>
      <c r="BA4" s="63">
        <v>0</v>
      </c>
      <c r="BB4" s="63">
        <v>0</v>
      </c>
      <c r="BC4" s="63">
        <v>0</v>
      </c>
      <c r="BD4" s="63">
        <v>0</v>
      </c>
      <c r="BE4" s="63">
        <v>0</v>
      </c>
      <c r="BF4" s="63">
        <v>0</v>
      </c>
      <c r="BG4" s="63">
        <v>0</v>
      </c>
      <c r="BH4" s="63">
        <v>0</v>
      </c>
      <c r="BJ4" s="40">
        <v>39041</v>
      </c>
      <c r="BK4" s="43">
        <f>+T4-AS4</f>
        <v>0</v>
      </c>
      <c r="BL4" s="43">
        <f t="shared" ref="BL4:BZ4" si="5">+U4-AT4</f>
        <v>0</v>
      </c>
      <c r="BM4" s="43">
        <f t="shared" si="5"/>
        <v>0</v>
      </c>
      <c r="BN4" s="43">
        <f t="shared" si="5"/>
        <v>0</v>
      </c>
      <c r="BO4" s="43">
        <f t="shared" si="5"/>
        <v>0</v>
      </c>
      <c r="BP4" s="43">
        <f t="shared" si="5"/>
        <v>0</v>
      </c>
      <c r="BQ4" s="43">
        <f t="shared" si="5"/>
        <v>0</v>
      </c>
      <c r="BR4" s="43">
        <f t="shared" si="5"/>
        <v>0</v>
      </c>
      <c r="BS4" s="43">
        <f t="shared" si="5"/>
        <v>0</v>
      </c>
      <c r="BT4" s="43">
        <f t="shared" si="5"/>
        <v>0</v>
      </c>
      <c r="BU4" s="43">
        <f t="shared" si="5"/>
        <v>0</v>
      </c>
      <c r="BV4" s="43">
        <f t="shared" si="5"/>
        <v>0</v>
      </c>
      <c r="BW4" s="43">
        <f t="shared" si="5"/>
        <v>0</v>
      </c>
      <c r="BX4" s="43">
        <f t="shared" si="5"/>
        <v>0</v>
      </c>
      <c r="BY4" s="43">
        <f t="shared" si="5"/>
        <v>0</v>
      </c>
      <c r="BZ4" s="43">
        <f t="shared" si="5"/>
        <v>0</v>
      </c>
      <c r="CA4" s="40">
        <v>39041</v>
      </c>
      <c r="CB4" s="43">
        <f>+BK4</f>
        <v>0</v>
      </c>
      <c r="CC4" s="43">
        <f t="shared" si="1"/>
        <v>0</v>
      </c>
      <c r="CD4" s="43">
        <f t="shared" si="1"/>
        <v>0</v>
      </c>
      <c r="CE4" s="43">
        <f t="shared" si="1"/>
        <v>0</v>
      </c>
      <c r="CF4" s="43">
        <f t="shared" si="1"/>
        <v>0</v>
      </c>
      <c r="CG4" s="43">
        <f t="shared" si="1"/>
        <v>0</v>
      </c>
      <c r="CH4" s="43">
        <f t="shared" si="1"/>
        <v>0</v>
      </c>
      <c r="CI4" s="43">
        <f t="shared" si="1"/>
        <v>0</v>
      </c>
      <c r="CJ4" s="43">
        <f t="shared" si="1"/>
        <v>0</v>
      </c>
      <c r="CK4" s="43">
        <f t="shared" si="1"/>
        <v>0</v>
      </c>
      <c r="CL4" s="43">
        <f t="shared" si="1"/>
        <v>0</v>
      </c>
      <c r="CM4" s="43">
        <f t="shared" si="1"/>
        <v>0</v>
      </c>
      <c r="CN4" s="43">
        <f t="shared" si="1"/>
        <v>0</v>
      </c>
      <c r="CO4" s="43">
        <f t="shared" si="1"/>
        <v>0</v>
      </c>
      <c r="CP4" s="43">
        <f t="shared" si="1"/>
        <v>0</v>
      </c>
      <c r="CQ4" s="43">
        <f t="shared" si="1"/>
        <v>0</v>
      </c>
      <c r="CR4" s="64">
        <f>+SUM(CB4:CQ4)</f>
        <v>0</v>
      </c>
      <c r="CT4" s="40">
        <v>39041</v>
      </c>
      <c r="CU4" s="71">
        <f>+CU$3-SUM(AS$4:AS4)</f>
        <v>1900000000</v>
      </c>
      <c r="CV4" s="71">
        <f>+CV$3-SUM(AT$4:AT4)</f>
        <v>455000000</v>
      </c>
      <c r="CW4" s="71">
        <f>+CW$3-SUM(AU$4:AU4)</f>
        <v>610000000</v>
      </c>
      <c r="CX4" s="71">
        <f>+CX$3-SUM(AV$4:AV4)</f>
        <v>2596000000</v>
      </c>
      <c r="CY4" s="71">
        <f>+CY$3-SUM(AW$4:AW4)</f>
        <v>1698999999.9999998</v>
      </c>
      <c r="CZ4" s="71">
        <f>+CZ$3-SUM(AX$4:AX4)</f>
        <v>1038500000</v>
      </c>
      <c r="DA4" s="71">
        <f>+DA$3-SUM(AY$4:AY4)</f>
        <v>500000000</v>
      </c>
      <c r="DB4" s="71">
        <f>+DB$3-SUM(AZ$4:AZ4)</f>
        <v>84500000</v>
      </c>
      <c r="DC4" s="71">
        <f>+DC$3-SUM(BA$4:BA4)</f>
        <v>167000000</v>
      </c>
      <c r="DD4" s="71">
        <f>+DD$3-SUM(BB$4:BB4)</f>
        <v>23000000</v>
      </c>
      <c r="DE4" s="71">
        <f>+DE$3-SUM(BC$4:BC4)</f>
        <v>74500000</v>
      </c>
      <c r="DF4" s="71">
        <f>+DF$3-SUM(BD$4:BD4)</f>
        <v>91000000</v>
      </c>
      <c r="DG4" s="71">
        <f>+DG$3-SUM(BE$4:BE4)</f>
        <v>56000000</v>
      </c>
      <c r="DH4" s="71">
        <f>+DH$3-SUM(BF$4:BF4)</f>
        <v>70000000</v>
      </c>
      <c r="DI4" s="71">
        <f>+DI$3-SUM(BG$4:BG4)</f>
        <v>211000000.00000003</v>
      </c>
      <c r="DJ4" s="71">
        <f>+DJ$3-SUM(BH$4:BH4)</f>
        <v>20000000</v>
      </c>
    </row>
    <row r="5" spans="1:114">
      <c r="A5" s="75">
        <v>39071</v>
      </c>
      <c r="B5" s="76">
        <f t="shared" si="3"/>
        <v>1900000000</v>
      </c>
      <c r="C5" s="76">
        <f t="shared" ref="C5:Q5" si="6">+C92</f>
        <v>455000000</v>
      </c>
      <c r="D5" s="76">
        <f t="shared" si="6"/>
        <v>610000000</v>
      </c>
      <c r="E5" s="76">
        <f t="shared" si="6"/>
        <v>2596000000</v>
      </c>
      <c r="F5" s="76">
        <f t="shared" si="6"/>
        <v>1698999999.9999998</v>
      </c>
      <c r="G5" s="76">
        <f t="shared" si="6"/>
        <v>1038500000</v>
      </c>
      <c r="H5" s="76">
        <f t="shared" si="6"/>
        <v>500000000</v>
      </c>
      <c r="I5" s="76">
        <f t="shared" si="6"/>
        <v>84500000</v>
      </c>
      <c r="J5" s="76">
        <f t="shared" si="6"/>
        <v>167000000</v>
      </c>
      <c r="K5" s="76">
        <f t="shared" si="6"/>
        <v>23000000</v>
      </c>
      <c r="L5" s="76">
        <f t="shared" si="6"/>
        <v>74500000</v>
      </c>
      <c r="M5" s="76">
        <f t="shared" si="6"/>
        <v>91000000</v>
      </c>
      <c r="N5" s="76">
        <f t="shared" si="6"/>
        <v>56000000</v>
      </c>
      <c r="O5" s="76">
        <f t="shared" si="6"/>
        <v>70000000</v>
      </c>
      <c r="P5" s="76">
        <f t="shared" si="6"/>
        <v>211000000.00000003</v>
      </c>
      <c r="Q5" s="76">
        <f t="shared" si="6"/>
        <v>20000000</v>
      </c>
      <c r="S5" s="40">
        <v>39071</v>
      </c>
      <c r="T5" s="82">
        <f>+ROUND(B4-B5,2)</f>
        <v>0</v>
      </c>
      <c r="U5" s="82">
        <f t="shared" ref="U5:AI20" si="7">+ROUND(C4-C5,2)</f>
        <v>0</v>
      </c>
      <c r="V5" s="82">
        <f t="shared" si="7"/>
        <v>0</v>
      </c>
      <c r="W5" s="82">
        <f t="shared" si="7"/>
        <v>0</v>
      </c>
      <c r="X5" s="82">
        <f t="shared" si="7"/>
        <v>0</v>
      </c>
      <c r="Y5" s="82">
        <f t="shared" si="7"/>
        <v>0</v>
      </c>
      <c r="Z5" s="82">
        <f t="shared" si="7"/>
        <v>0</v>
      </c>
      <c r="AA5" s="82">
        <f t="shared" si="7"/>
        <v>0</v>
      </c>
      <c r="AB5" s="82">
        <f t="shared" si="7"/>
        <v>0</v>
      </c>
      <c r="AC5" s="82">
        <f t="shared" si="7"/>
        <v>0</v>
      </c>
      <c r="AD5" s="82">
        <f t="shared" si="7"/>
        <v>0</v>
      </c>
      <c r="AE5" s="82">
        <f t="shared" si="7"/>
        <v>0</v>
      </c>
      <c r="AF5" s="82">
        <f t="shared" si="7"/>
        <v>0</v>
      </c>
      <c r="AG5" s="82">
        <f t="shared" si="7"/>
        <v>0</v>
      </c>
      <c r="AH5" s="82">
        <f t="shared" si="7"/>
        <v>0</v>
      </c>
      <c r="AI5" s="82">
        <f t="shared" si="7"/>
        <v>0</v>
      </c>
      <c r="AJ5" s="40">
        <v>39071</v>
      </c>
      <c r="AK5" s="187">
        <f t="shared" ref="AK5:AK68" si="8">+SUM(B5:H5)</f>
        <v>8798500000</v>
      </c>
      <c r="AL5" s="43">
        <f t="shared" ref="AL5:AL68" si="9">+SUM(C5:I5)</f>
        <v>6983000000</v>
      </c>
      <c r="AM5" s="43">
        <f t="shared" ref="AM5:AM68" si="10">+SUM(D5:J5)</f>
        <v>6695000000</v>
      </c>
      <c r="AN5" s="43">
        <f t="shared" ref="AN5:AN68" si="11">+SUM(E5:K5)</f>
        <v>6108000000</v>
      </c>
      <c r="AO5" s="43">
        <f t="shared" ref="AO5:AO68" si="12">+SUM(AK5:AN5)</f>
        <v>28584500000</v>
      </c>
      <c r="AR5" s="40">
        <v>39071</v>
      </c>
      <c r="AS5" s="63">
        <v>0</v>
      </c>
      <c r="AT5" s="63">
        <v>0</v>
      </c>
      <c r="AU5" s="63">
        <v>0</v>
      </c>
      <c r="AV5" s="63">
        <v>0</v>
      </c>
      <c r="AW5" s="63">
        <v>0</v>
      </c>
      <c r="AX5" s="63">
        <v>0</v>
      </c>
      <c r="AY5" s="63">
        <v>0</v>
      </c>
      <c r="AZ5" s="63">
        <v>0</v>
      </c>
      <c r="BA5" s="63">
        <v>0</v>
      </c>
      <c r="BB5" s="63">
        <v>0</v>
      </c>
      <c r="BC5" s="63">
        <v>0</v>
      </c>
      <c r="BD5" s="63">
        <v>0</v>
      </c>
      <c r="BE5" s="63">
        <v>0</v>
      </c>
      <c r="BF5" s="63">
        <v>0</v>
      </c>
      <c r="BG5" s="63">
        <v>0</v>
      </c>
      <c r="BH5" s="63">
        <v>0</v>
      </c>
      <c r="BJ5" s="40">
        <v>39071</v>
      </c>
      <c r="BK5" s="43">
        <f t="shared" ref="BK5:BK68" si="13">+T5-AS5</f>
        <v>0</v>
      </c>
      <c r="BL5" s="43">
        <f t="shared" ref="BL5:BL68" si="14">+U5-AT5</f>
        <v>0</v>
      </c>
      <c r="BM5" s="43">
        <f t="shared" ref="BM5:BM68" si="15">+V5-AU5</f>
        <v>0</v>
      </c>
      <c r="BN5" s="43">
        <f t="shared" ref="BN5:BN68" si="16">+W5-AV5</f>
        <v>0</v>
      </c>
      <c r="BO5" s="43">
        <f t="shared" ref="BO5:BO68" si="17">+X5-AW5</f>
        <v>0</v>
      </c>
      <c r="BP5" s="43">
        <f t="shared" ref="BP5:BP68" si="18">+Y5-AX5</f>
        <v>0</v>
      </c>
      <c r="BQ5" s="43">
        <f t="shared" ref="BQ5:BQ68" si="19">+Z5-AY5</f>
        <v>0</v>
      </c>
      <c r="BR5" s="43">
        <f t="shared" ref="BR5:BR68" si="20">+AA5-AZ5</f>
        <v>0</v>
      </c>
      <c r="BS5" s="43">
        <f t="shared" ref="BS5:BS68" si="21">+AB5-BA5</f>
        <v>0</v>
      </c>
      <c r="BT5" s="43">
        <f t="shared" ref="BT5:BT68" si="22">+AC5-BB5</f>
        <v>0</v>
      </c>
      <c r="BU5" s="43">
        <f t="shared" ref="BU5:BU68" si="23">+AD5-BC5</f>
        <v>0</v>
      </c>
      <c r="BV5" s="43">
        <f t="shared" ref="BV5:BV68" si="24">+AE5-BD5</f>
        <v>0</v>
      </c>
      <c r="BW5" s="43">
        <f t="shared" ref="BW5:BW68" si="25">+AF5-BE5</f>
        <v>0</v>
      </c>
      <c r="BX5" s="43">
        <f t="shared" ref="BX5:BX68" si="26">+AG5-BF5</f>
        <v>0</v>
      </c>
      <c r="BY5" s="43">
        <f t="shared" ref="BY5:BY68" si="27">+AH5-BG5</f>
        <v>0</v>
      </c>
      <c r="BZ5" s="43">
        <f t="shared" ref="BZ5:BZ68" si="28">+AI5-BH5</f>
        <v>0</v>
      </c>
      <c r="CA5" s="40">
        <v>39071</v>
      </c>
      <c r="CB5" s="43">
        <f t="shared" ref="CB5:CB19" si="29">+CB4+BK5</f>
        <v>0</v>
      </c>
      <c r="CC5" s="43">
        <f t="shared" ref="CC5:CC19" si="30">+CC4+BL5</f>
        <v>0</v>
      </c>
      <c r="CD5" s="43">
        <f t="shared" ref="CD5:CD19" si="31">+CD4+BM5</f>
        <v>0</v>
      </c>
      <c r="CE5" s="43">
        <f t="shared" ref="CE5:CE19" si="32">+CE4+BN5</f>
        <v>0</v>
      </c>
      <c r="CF5" s="43">
        <f t="shared" ref="CF5:CF19" si="33">+CF4+BO5</f>
        <v>0</v>
      </c>
      <c r="CG5" s="43">
        <f t="shared" ref="CG5:CG19" si="34">+CG4+BP5</f>
        <v>0</v>
      </c>
      <c r="CH5" s="43">
        <f t="shared" ref="CH5:CH19" si="35">+CH4+BQ5</f>
        <v>0</v>
      </c>
      <c r="CI5" s="43">
        <f t="shared" ref="CI5:CI19" si="36">+CI4+BR5</f>
        <v>0</v>
      </c>
      <c r="CJ5" s="43">
        <f t="shared" ref="CJ5:CJ19" si="37">+CJ4+BS5</f>
        <v>0</v>
      </c>
      <c r="CK5" s="43">
        <f t="shared" ref="CK5:CK19" si="38">+CK4+BT5</f>
        <v>0</v>
      </c>
      <c r="CL5" s="43">
        <f t="shared" ref="CL5:CL19" si="39">+CL4+BU5</f>
        <v>0</v>
      </c>
      <c r="CM5" s="43">
        <f t="shared" ref="CM5:CM19" si="40">+CM4+BV5</f>
        <v>0</v>
      </c>
      <c r="CN5" s="43">
        <f t="shared" ref="CN5:CN19" si="41">+CN4+BW5</f>
        <v>0</v>
      </c>
      <c r="CO5" s="43">
        <f t="shared" ref="CO5:CO19" si="42">+CO4+BX5</f>
        <v>0</v>
      </c>
      <c r="CP5" s="43">
        <f t="shared" ref="CP5:CP19" si="43">+CP4+BY5</f>
        <v>0</v>
      </c>
      <c r="CQ5" s="43">
        <f t="shared" ref="CQ5:CQ19" si="44">+CQ4+BZ5</f>
        <v>0</v>
      </c>
      <c r="CR5" s="64">
        <f t="shared" ref="CR5:CR68" si="45">+SUM(CB5:CQ5)</f>
        <v>0</v>
      </c>
      <c r="CT5" s="40">
        <v>39071</v>
      </c>
      <c r="CU5" s="71">
        <f>+CU$3-SUM(AS$4:AS5)</f>
        <v>1900000000</v>
      </c>
      <c r="CV5" s="71">
        <f>+CV$3-SUM(AT$4:AT5)</f>
        <v>455000000</v>
      </c>
      <c r="CW5" s="71">
        <f>+CW$3-SUM(AU$4:AU5)</f>
        <v>610000000</v>
      </c>
      <c r="CX5" s="71">
        <f>+CX$3-SUM(AV$4:AV5)</f>
        <v>2596000000</v>
      </c>
      <c r="CY5" s="71">
        <f>+CY$3-SUM(AW$4:AW5)</f>
        <v>1698999999.9999998</v>
      </c>
      <c r="CZ5" s="71">
        <f>+CZ$3-SUM(AX$4:AX5)</f>
        <v>1038500000</v>
      </c>
      <c r="DA5" s="71">
        <f>+DA$3-SUM(AY$4:AY5)</f>
        <v>500000000</v>
      </c>
      <c r="DB5" s="71">
        <f>+DB$3-SUM(AZ$4:AZ5)</f>
        <v>84500000</v>
      </c>
      <c r="DC5" s="71">
        <f>+DC$3-SUM(BA$4:BA5)</f>
        <v>167000000</v>
      </c>
      <c r="DD5" s="71">
        <f>+DD$3-SUM(BB$4:BB5)</f>
        <v>23000000</v>
      </c>
      <c r="DE5" s="71">
        <f>+DE$3-SUM(BC$4:BC5)</f>
        <v>74500000</v>
      </c>
      <c r="DF5" s="71">
        <f>+DF$3-SUM(BD$4:BD5)</f>
        <v>91000000</v>
      </c>
      <c r="DG5" s="71">
        <f>+DG$3-SUM(BE$4:BE5)</f>
        <v>56000000</v>
      </c>
      <c r="DH5" s="71">
        <f>+DH$3-SUM(BF$4:BF5)</f>
        <v>70000000</v>
      </c>
      <c r="DI5" s="71">
        <f>+DI$3-SUM(BG$4:BG5)</f>
        <v>211000000.00000003</v>
      </c>
      <c r="DJ5" s="71">
        <f>+DJ$3-SUM(BH$4:BH5)</f>
        <v>20000000</v>
      </c>
    </row>
    <row r="6" spans="1:114">
      <c r="A6" s="75">
        <v>39102</v>
      </c>
      <c r="B6" s="76">
        <f t="shared" si="3"/>
        <v>1900000000</v>
      </c>
      <c r="C6" s="76">
        <f t="shared" ref="C6:Q6" si="46">+C93</f>
        <v>455000000</v>
      </c>
      <c r="D6" s="76">
        <f t="shared" si="46"/>
        <v>610000000</v>
      </c>
      <c r="E6" s="76">
        <f t="shared" si="46"/>
        <v>2596000000</v>
      </c>
      <c r="F6" s="76">
        <f t="shared" si="46"/>
        <v>1698999999.9999998</v>
      </c>
      <c r="G6" s="76">
        <f t="shared" si="46"/>
        <v>1038500000</v>
      </c>
      <c r="H6" s="76">
        <f t="shared" si="46"/>
        <v>500000000</v>
      </c>
      <c r="I6" s="76">
        <f t="shared" si="46"/>
        <v>84500000</v>
      </c>
      <c r="J6" s="76">
        <f t="shared" si="46"/>
        <v>167000000</v>
      </c>
      <c r="K6" s="76">
        <f t="shared" si="46"/>
        <v>23000000</v>
      </c>
      <c r="L6" s="76">
        <f t="shared" si="46"/>
        <v>74500000</v>
      </c>
      <c r="M6" s="76">
        <f t="shared" si="46"/>
        <v>91000000</v>
      </c>
      <c r="N6" s="76">
        <f t="shared" si="46"/>
        <v>56000000</v>
      </c>
      <c r="O6" s="76">
        <f t="shared" si="46"/>
        <v>70000000</v>
      </c>
      <c r="P6" s="76">
        <f t="shared" si="46"/>
        <v>211000000.00000003</v>
      </c>
      <c r="Q6" s="76">
        <f t="shared" si="46"/>
        <v>20000000</v>
      </c>
      <c r="S6" s="40">
        <v>39102</v>
      </c>
      <c r="T6" s="82">
        <f t="shared" ref="T6:T69" si="47">+ROUND(B5-B6,2)</f>
        <v>0</v>
      </c>
      <c r="U6" s="82">
        <f t="shared" si="7"/>
        <v>0</v>
      </c>
      <c r="V6" s="82">
        <f t="shared" si="7"/>
        <v>0</v>
      </c>
      <c r="W6" s="82">
        <f t="shared" si="7"/>
        <v>0</v>
      </c>
      <c r="X6" s="82">
        <f t="shared" si="7"/>
        <v>0</v>
      </c>
      <c r="Y6" s="82">
        <f t="shared" si="7"/>
        <v>0</v>
      </c>
      <c r="Z6" s="82">
        <f t="shared" si="7"/>
        <v>0</v>
      </c>
      <c r="AA6" s="82">
        <f t="shared" si="7"/>
        <v>0</v>
      </c>
      <c r="AB6" s="82">
        <f t="shared" si="7"/>
        <v>0</v>
      </c>
      <c r="AC6" s="82">
        <f t="shared" si="7"/>
        <v>0</v>
      </c>
      <c r="AD6" s="82">
        <f t="shared" si="7"/>
        <v>0</v>
      </c>
      <c r="AE6" s="82">
        <f t="shared" si="7"/>
        <v>0</v>
      </c>
      <c r="AF6" s="82">
        <f t="shared" si="7"/>
        <v>0</v>
      </c>
      <c r="AG6" s="82">
        <f t="shared" si="7"/>
        <v>0</v>
      </c>
      <c r="AH6" s="82">
        <f t="shared" si="7"/>
        <v>0</v>
      </c>
      <c r="AI6" s="82">
        <f t="shared" si="7"/>
        <v>0</v>
      </c>
      <c r="AJ6" s="40">
        <v>39102</v>
      </c>
      <c r="AK6" s="187">
        <f t="shared" si="8"/>
        <v>8798500000</v>
      </c>
      <c r="AL6" s="43">
        <f t="shared" si="9"/>
        <v>6983000000</v>
      </c>
      <c r="AM6" s="43">
        <f t="shared" si="10"/>
        <v>6695000000</v>
      </c>
      <c r="AN6" s="43">
        <f t="shared" si="11"/>
        <v>6108000000</v>
      </c>
      <c r="AO6" s="43">
        <f t="shared" si="12"/>
        <v>28584500000</v>
      </c>
      <c r="AR6" s="40">
        <v>39102</v>
      </c>
      <c r="AS6" s="63">
        <v>0</v>
      </c>
      <c r="AT6" s="63">
        <v>0</v>
      </c>
      <c r="AU6" s="63">
        <v>0</v>
      </c>
      <c r="AV6" s="63">
        <v>0</v>
      </c>
      <c r="AW6" s="63">
        <v>0</v>
      </c>
      <c r="AX6" s="63">
        <v>0</v>
      </c>
      <c r="AY6" s="63">
        <v>0</v>
      </c>
      <c r="AZ6" s="63">
        <v>0</v>
      </c>
      <c r="BA6" s="63">
        <v>0</v>
      </c>
      <c r="BB6" s="63">
        <v>0</v>
      </c>
      <c r="BC6" s="63">
        <v>0</v>
      </c>
      <c r="BD6" s="63">
        <v>0</v>
      </c>
      <c r="BE6" s="63">
        <v>0</v>
      </c>
      <c r="BF6" s="63">
        <v>0</v>
      </c>
      <c r="BG6" s="63">
        <v>0</v>
      </c>
      <c r="BH6" s="63">
        <v>0</v>
      </c>
      <c r="BJ6" s="40">
        <v>39102</v>
      </c>
      <c r="BK6" s="43">
        <f t="shared" si="13"/>
        <v>0</v>
      </c>
      <c r="BL6" s="43">
        <f t="shared" si="14"/>
        <v>0</v>
      </c>
      <c r="BM6" s="43">
        <f t="shared" si="15"/>
        <v>0</v>
      </c>
      <c r="BN6" s="43">
        <f t="shared" si="16"/>
        <v>0</v>
      </c>
      <c r="BO6" s="43">
        <f t="shared" si="17"/>
        <v>0</v>
      </c>
      <c r="BP6" s="43">
        <f t="shared" si="18"/>
        <v>0</v>
      </c>
      <c r="BQ6" s="43">
        <f t="shared" si="19"/>
        <v>0</v>
      </c>
      <c r="BR6" s="43">
        <f t="shared" si="20"/>
        <v>0</v>
      </c>
      <c r="BS6" s="43">
        <f t="shared" si="21"/>
        <v>0</v>
      </c>
      <c r="BT6" s="43">
        <f t="shared" si="22"/>
        <v>0</v>
      </c>
      <c r="BU6" s="43">
        <f t="shared" si="23"/>
        <v>0</v>
      </c>
      <c r="BV6" s="43">
        <f t="shared" si="24"/>
        <v>0</v>
      </c>
      <c r="BW6" s="43">
        <f t="shared" si="25"/>
        <v>0</v>
      </c>
      <c r="BX6" s="43">
        <f t="shared" si="26"/>
        <v>0</v>
      </c>
      <c r="BY6" s="43">
        <f t="shared" si="27"/>
        <v>0</v>
      </c>
      <c r="BZ6" s="43">
        <f t="shared" si="28"/>
        <v>0</v>
      </c>
      <c r="CA6" s="40">
        <v>39102</v>
      </c>
      <c r="CB6" s="43">
        <f t="shared" si="29"/>
        <v>0</v>
      </c>
      <c r="CC6" s="43">
        <f t="shared" si="30"/>
        <v>0</v>
      </c>
      <c r="CD6" s="43">
        <f t="shared" si="31"/>
        <v>0</v>
      </c>
      <c r="CE6" s="43">
        <f t="shared" si="32"/>
        <v>0</v>
      </c>
      <c r="CF6" s="43">
        <f t="shared" si="33"/>
        <v>0</v>
      </c>
      <c r="CG6" s="43">
        <f t="shared" si="34"/>
        <v>0</v>
      </c>
      <c r="CH6" s="43">
        <f t="shared" si="35"/>
        <v>0</v>
      </c>
      <c r="CI6" s="43">
        <f t="shared" si="36"/>
        <v>0</v>
      </c>
      <c r="CJ6" s="43">
        <f t="shared" si="37"/>
        <v>0</v>
      </c>
      <c r="CK6" s="43">
        <f t="shared" si="38"/>
        <v>0</v>
      </c>
      <c r="CL6" s="43">
        <f t="shared" si="39"/>
        <v>0</v>
      </c>
      <c r="CM6" s="43">
        <f t="shared" si="40"/>
        <v>0</v>
      </c>
      <c r="CN6" s="43">
        <f t="shared" si="41"/>
        <v>0</v>
      </c>
      <c r="CO6" s="43">
        <f t="shared" si="42"/>
        <v>0</v>
      </c>
      <c r="CP6" s="43">
        <f t="shared" si="43"/>
        <v>0</v>
      </c>
      <c r="CQ6" s="43">
        <f t="shared" si="44"/>
        <v>0</v>
      </c>
      <c r="CR6" s="64">
        <f t="shared" si="45"/>
        <v>0</v>
      </c>
      <c r="CT6" s="40">
        <v>39102</v>
      </c>
      <c r="CU6" s="71">
        <f>+CU$3-SUM(AS$4:AS6)</f>
        <v>1900000000</v>
      </c>
      <c r="CV6" s="71">
        <f>+CV$3-SUM(AT$4:AT6)</f>
        <v>455000000</v>
      </c>
      <c r="CW6" s="71">
        <f>+CW$3-SUM(AU$4:AU6)</f>
        <v>610000000</v>
      </c>
      <c r="CX6" s="71">
        <f>+CX$3-SUM(AV$4:AV6)</f>
        <v>2596000000</v>
      </c>
      <c r="CY6" s="71">
        <f>+CY$3-SUM(AW$4:AW6)</f>
        <v>1698999999.9999998</v>
      </c>
      <c r="CZ6" s="71">
        <f>+CZ$3-SUM(AX$4:AX6)</f>
        <v>1038500000</v>
      </c>
      <c r="DA6" s="71">
        <f>+DA$3-SUM(AY$4:AY6)</f>
        <v>500000000</v>
      </c>
      <c r="DB6" s="71">
        <f>+DB$3-SUM(AZ$4:AZ6)</f>
        <v>84500000</v>
      </c>
      <c r="DC6" s="71">
        <f>+DC$3-SUM(BA$4:BA6)</f>
        <v>167000000</v>
      </c>
      <c r="DD6" s="71">
        <f>+DD$3-SUM(BB$4:BB6)</f>
        <v>23000000</v>
      </c>
      <c r="DE6" s="71">
        <f>+DE$3-SUM(BC$4:BC6)</f>
        <v>74500000</v>
      </c>
      <c r="DF6" s="71">
        <f>+DF$3-SUM(BD$4:BD6)</f>
        <v>91000000</v>
      </c>
      <c r="DG6" s="71">
        <f>+DG$3-SUM(BE$4:BE6)</f>
        <v>56000000</v>
      </c>
      <c r="DH6" s="71">
        <f>+DH$3-SUM(BF$4:BF6)</f>
        <v>70000000</v>
      </c>
      <c r="DI6" s="71">
        <f>+DI$3-SUM(BG$4:BG6)</f>
        <v>211000000.00000003</v>
      </c>
      <c r="DJ6" s="71">
        <f>+DJ$3-SUM(BH$4:BH6)</f>
        <v>20000000</v>
      </c>
    </row>
    <row r="7" spans="1:114">
      <c r="A7" s="75">
        <v>39133</v>
      </c>
      <c r="B7" s="76">
        <f t="shared" si="3"/>
        <v>1472851675.62445</v>
      </c>
      <c r="C7" s="76">
        <f t="shared" ref="C7:Q7" si="48">+C94</f>
        <v>352709217.05743408</v>
      </c>
      <c r="D7" s="76">
        <f t="shared" si="48"/>
        <v>472862906.38469189</v>
      </c>
      <c r="E7" s="76">
        <f t="shared" si="48"/>
        <v>2596000000</v>
      </c>
      <c r="F7" s="76">
        <f t="shared" si="48"/>
        <v>1698999999.9999998</v>
      </c>
      <c r="G7" s="76">
        <f t="shared" si="48"/>
        <v>1038500000</v>
      </c>
      <c r="H7" s="76">
        <f t="shared" si="48"/>
        <v>500000000</v>
      </c>
      <c r="I7" s="76">
        <f t="shared" si="48"/>
        <v>84500000</v>
      </c>
      <c r="J7" s="76">
        <f t="shared" si="48"/>
        <v>167000000</v>
      </c>
      <c r="K7" s="76">
        <f t="shared" si="48"/>
        <v>23000000</v>
      </c>
      <c r="L7" s="76">
        <f t="shared" si="48"/>
        <v>74500000</v>
      </c>
      <c r="M7" s="76">
        <f t="shared" si="48"/>
        <v>91000000</v>
      </c>
      <c r="N7" s="76">
        <f t="shared" si="48"/>
        <v>56000000</v>
      </c>
      <c r="O7" s="76">
        <f t="shared" si="48"/>
        <v>70000000</v>
      </c>
      <c r="P7" s="76">
        <f t="shared" si="48"/>
        <v>211000000.00000003</v>
      </c>
      <c r="Q7" s="76">
        <f t="shared" si="48"/>
        <v>20000000</v>
      </c>
      <c r="R7" s="84"/>
      <c r="S7" s="40">
        <v>39133</v>
      </c>
      <c r="T7" s="82">
        <f t="shared" si="47"/>
        <v>427148324.38</v>
      </c>
      <c r="U7" s="82">
        <f t="shared" si="7"/>
        <v>102290782.94</v>
      </c>
      <c r="V7" s="82">
        <f t="shared" si="7"/>
        <v>137137093.62</v>
      </c>
      <c r="W7" s="82">
        <f t="shared" si="7"/>
        <v>0</v>
      </c>
      <c r="X7" s="82">
        <f t="shared" si="7"/>
        <v>0</v>
      </c>
      <c r="Y7" s="82">
        <f t="shared" si="7"/>
        <v>0</v>
      </c>
      <c r="Z7" s="82">
        <f t="shared" si="7"/>
        <v>0</v>
      </c>
      <c r="AA7" s="82">
        <f t="shared" si="7"/>
        <v>0</v>
      </c>
      <c r="AB7" s="82">
        <f t="shared" si="7"/>
        <v>0</v>
      </c>
      <c r="AC7" s="82">
        <f t="shared" si="7"/>
        <v>0</v>
      </c>
      <c r="AD7" s="82">
        <f t="shared" si="7"/>
        <v>0</v>
      </c>
      <c r="AE7" s="82">
        <f t="shared" si="7"/>
        <v>0</v>
      </c>
      <c r="AF7" s="82">
        <f t="shared" si="7"/>
        <v>0</v>
      </c>
      <c r="AG7" s="82">
        <f t="shared" si="7"/>
        <v>0</v>
      </c>
      <c r="AH7" s="82">
        <f t="shared" si="7"/>
        <v>0</v>
      </c>
      <c r="AI7" s="82">
        <f t="shared" si="7"/>
        <v>0</v>
      </c>
      <c r="AJ7" s="40">
        <v>39133</v>
      </c>
      <c r="AK7" s="187">
        <f t="shared" si="8"/>
        <v>8131923799.066576</v>
      </c>
      <c r="AL7" s="43">
        <f t="shared" si="9"/>
        <v>6743572123.4421263</v>
      </c>
      <c r="AM7" s="43">
        <f t="shared" si="10"/>
        <v>6557862906.3846912</v>
      </c>
      <c r="AN7" s="43">
        <f t="shared" si="11"/>
        <v>6108000000</v>
      </c>
      <c r="AO7" s="43">
        <f t="shared" si="12"/>
        <v>27541358828.893394</v>
      </c>
      <c r="AR7" s="40">
        <v>39133</v>
      </c>
      <c r="AS7" s="85">
        <v>427148324.38</v>
      </c>
      <c r="AT7" s="85">
        <v>102290782.94</v>
      </c>
      <c r="AU7" s="85">
        <v>137137093.62</v>
      </c>
      <c r="AV7" s="63">
        <v>0</v>
      </c>
      <c r="AW7" s="63">
        <v>0</v>
      </c>
      <c r="AX7" s="63">
        <v>0</v>
      </c>
      <c r="AY7" s="63">
        <v>0</v>
      </c>
      <c r="AZ7" s="63">
        <v>0</v>
      </c>
      <c r="BA7" s="63">
        <v>0</v>
      </c>
      <c r="BB7" s="63">
        <v>0</v>
      </c>
      <c r="BC7" s="63">
        <v>0</v>
      </c>
      <c r="BD7" s="63">
        <v>0</v>
      </c>
      <c r="BE7" s="63">
        <v>0</v>
      </c>
      <c r="BF7" s="63">
        <v>0</v>
      </c>
      <c r="BG7" s="63">
        <v>0</v>
      </c>
      <c r="BH7" s="63">
        <v>0</v>
      </c>
      <c r="BJ7" s="40">
        <v>39133</v>
      </c>
      <c r="BK7" s="43">
        <f>+T7-AS7</f>
        <v>0</v>
      </c>
      <c r="BL7" s="43">
        <f t="shared" si="14"/>
        <v>0</v>
      </c>
      <c r="BM7" s="43">
        <f t="shared" si="15"/>
        <v>0</v>
      </c>
      <c r="BN7" s="43">
        <f t="shared" si="16"/>
        <v>0</v>
      </c>
      <c r="BO7" s="43">
        <f t="shared" si="17"/>
        <v>0</v>
      </c>
      <c r="BP7" s="43">
        <f t="shared" si="18"/>
        <v>0</v>
      </c>
      <c r="BQ7" s="43">
        <f t="shared" si="19"/>
        <v>0</v>
      </c>
      <c r="BR7" s="43">
        <f t="shared" si="20"/>
        <v>0</v>
      </c>
      <c r="BS7" s="43">
        <f t="shared" si="21"/>
        <v>0</v>
      </c>
      <c r="BT7" s="43">
        <f t="shared" si="22"/>
        <v>0</v>
      </c>
      <c r="BU7" s="43">
        <f t="shared" si="23"/>
        <v>0</v>
      </c>
      <c r="BV7" s="43">
        <f t="shared" si="24"/>
        <v>0</v>
      </c>
      <c r="BW7" s="43">
        <f t="shared" si="25"/>
        <v>0</v>
      </c>
      <c r="BX7" s="43">
        <f t="shared" si="26"/>
        <v>0</v>
      </c>
      <c r="BY7" s="43">
        <f t="shared" si="27"/>
        <v>0</v>
      </c>
      <c r="BZ7" s="43">
        <f t="shared" si="28"/>
        <v>0</v>
      </c>
      <c r="CA7" s="40">
        <v>39133</v>
      </c>
      <c r="CB7" s="43">
        <f t="shared" si="29"/>
        <v>0</v>
      </c>
      <c r="CC7" s="43">
        <f t="shared" si="30"/>
        <v>0</v>
      </c>
      <c r="CD7" s="43">
        <f t="shared" si="31"/>
        <v>0</v>
      </c>
      <c r="CE7" s="43">
        <f t="shared" si="32"/>
        <v>0</v>
      </c>
      <c r="CF7" s="43">
        <f t="shared" si="33"/>
        <v>0</v>
      </c>
      <c r="CG7" s="43">
        <f t="shared" si="34"/>
        <v>0</v>
      </c>
      <c r="CH7" s="43">
        <f t="shared" si="35"/>
        <v>0</v>
      </c>
      <c r="CI7" s="43">
        <f t="shared" si="36"/>
        <v>0</v>
      </c>
      <c r="CJ7" s="43">
        <f t="shared" si="37"/>
        <v>0</v>
      </c>
      <c r="CK7" s="43">
        <f t="shared" si="38"/>
        <v>0</v>
      </c>
      <c r="CL7" s="43">
        <f t="shared" si="39"/>
        <v>0</v>
      </c>
      <c r="CM7" s="43">
        <f t="shared" si="40"/>
        <v>0</v>
      </c>
      <c r="CN7" s="43">
        <f t="shared" si="41"/>
        <v>0</v>
      </c>
      <c r="CO7" s="43">
        <f t="shared" si="42"/>
        <v>0</v>
      </c>
      <c r="CP7" s="43">
        <f t="shared" si="43"/>
        <v>0</v>
      </c>
      <c r="CQ7" s="43">
        <f t="shared" si="44"/>
        <v>0</v>
      </c>
      <c r="CR7" s="64">
        <f>+SUM(CB7:CQ7)</f>
        <v>0</v>
      </c>
      <c r="CT7" s="40">
        <v>39133</v>
      </c>
      <c r="CU7" s="71">
        <f>+CU$3-SUM(AS$4:AS7)</f>
        <v>1472851675.6199999</v>
      </c>
      <c r="CV7" s="71">
        <f>+CV$3-SUM(AT$4:AT7)</f>
        <v>352709217.06</v>
      </c>
      <c r="CW7" s="71">
        <f>+CW$3-SUM(AU$4:AU7)</f>
        <v>472862906.38</v>
      </c>
      <c r="CX7" s="71">
        <f>+CX$3-SUM(AV$4:AV7)</f>
        <v>2596000000</v>
      </c>
      <c r="CY7" s="71">
        <f>+CY$3-SUM(AW$4:AW7)</f>
        <v>1698999999.9999998</v>
      </c>
      <c r="CZ7" s="71">
        <f>+CZ$3-SUM(AX$4:AX7)</f>
        <v>1038500000</v>
      </c>
      <c r="DA7" s="71">
        <f>+DA$3-SUM(AY$4:AY7)</f>
        <v>500000000</v>
      </c>
      <c r="DB7" s="71">
        <f>+DB$3-SUM(AZ$4:AZ7)</f>
        <v>84500000</v>
      </c>
      <c r="DC7" s="71">
        <f>+DC$3-SUM(BA$4:BA7)</f>
        <v>167000000</v>
      </c>
      <c r="DD7" s="71">
        <f>+DD$3-SUM(BB$4:BB7)</f>
        <v>23000000</v>
      </c>
      <c r="DE7" s="71">
        <f>+DE$3-SUM(BC$4:BC7)</f>
        <v>74500000</v>
      </c>
      <c r="DF7" s="71">
        <f>+DF$3-SUM(BD$4:BD7)</f>
        <v>91000000</v>
      </c>
      <c r="DG7" s="71">
        <f>+DG$3-SUM(BE$4:BE7)</f>
        <v>56000000</v>
      </c>
      <c r="DH7" s="71">
        <f>+DH$3-SUM(BF$4:BF7)</f>
        <v>70000000</v>
      </c>
      <c r="DI7" s="71">
        <f>+DI$3-SUM(BG$4:BG7)</f>
        <v>211000000.00000003</v>
      </c>
      <c r="DJ7" s="71">
        <f>+DJ$3-SUM(BH$4:BH7)</f>
        <v>20000000</v>
      </c>
    </row>
    <row r="8" spans="1:114">
      <c r="A8" s="75">
        <v>39161</v>
      </c>
      <c r="B8" s="76">
        <f t="shared" si="3"/>
        <v>1472851675.62445</v>
      </c>
      <c r="C8" s="76">
        <f t="shared" ref="C8:Q8" si="49">+C95</f>
        <v>352709217.05743408</v>
      </c>
      <c r="D8" s="76">
        <f t="shared" si="49"/>
        <v>472862906.38469189</v>
      </c>
      <c r="E8" s="76">
        <f t="shared" si="49"/>
        <v>2596000000</v>
      </c>
      <c r="F8" s="76">
        <f t="shared" si="49"/>
        <v>1698999999.9999998</v>
      </c>
      <c r="G8" s="76">
        <f t="shared" si="49"/>
        <v>1038500000</v>
      </c>
      <c r="H8" s="76">
        <f t="shared" si="49"/>
        <v>500000000</v>
      </c>
      <c r="I8" s="76">
        <f t="shared" si="49"/>
        <v>84500000</v>
      </c>
      <c r="J8" s="76">
        <f t="shared" si="49"/>
        <v>167000000</v>
      </c>
      <c r="K8" s="76">
        <f t="shared" si="49"/>
        <v>23000000</v>
      </c>
      <c r="L8" s="76">
        <f t="shared" si="49"/>
        <v>74500000</v>
      </c>
      <c r="M8" s="76">
        <f t="shared" si="49"/>
        <v>91000000</v>
      </c>
      <c r="N8" s="76">
        <f t="shared" si="49"/>
        <v>56000000</v>
      </c>
      <c r="O8" s="76">
        <f t="shared" si="49"/>
        <v>70000000</v>
      </c>
      <c r="P8" s="76">
        <f t="shared" si="49"/>
        <v>211000000.00000003</v>
      </c>
      <c r="Q8" s="76">
        <f t="shared" si="49"/>
        <v>20000000</v>
      </c>
      <c r="R8" s="189"/>
      <c r="S8" s="40">
        <v>39161</v>
      </c>
      <c r="T8" s="82">
        <f t="shared" si="47"/>
        <v>0</v>
      </c>
      <c r="U8" s="82">
        <f t="shared" si="7"/>
        <v>0</v>
      </c>
      <c r="V8" s="82">
        <f t="shared" si="7"/>
        <v>0</v>
      </c>
      <c r="W8" s="82">
        <f t="shared" si="7"/>
        <v>0</v>
      </c>
      <c r="X8" s="82">
        <f t="shared" si="7"/>
        <v>0</v>
      </c>
      <c r="Y8" s="82">
        <f t="shared" si="7"/>
        <v>0</v>
      </c>
      <c r="Z8" s="82">
        <f t="shared" si="7"/>
        <v>0</v>
      </c>
      <c r="AA8" s="82">
        <f t="shared" si="7"/>
        <v>0</v>
      </c>
      <c r="AB8" s="82">
        <f t="shared" si="7"/>
        <v>0</v>
      </c>
      <c r="AC8" s="82">
        <f t="shared" si="7"/>
        <v>0</v>
      </c>
      <c r="AD8" s="82">
        <f t="shared" si="7"/>
        <v>0</v>
      </c>
      <c r="AE8" s="82">
        <f t="shared" si="7"/>
        <v>0</v>
      </c>
      <c r="AF8" s="82">
        <f t="shared" si="7"/>
        <v>0</v>
      </c>
      <c r="AG8" s="82">
        <f t="shared" si="7"/>
        <v>0</v>
      </c>
      <c r="AH8" s="82">
        <f t="shared" si="7"/>
        <v>0</v>
      </c>
      <c r="AI8" s="82">
        <f t="shared" si="7"/>
        <v>0</v>
      </c>
      <c r="AJ8" s="40">
        <v>39161</v>
      </c>
      <c r="AK8" s="187">
        <f t="shared" si="8"/>
        <v>8131923799.066576</v>
      </c>
      <c r="AL8" s="43">
        <f t="shared" si="9"/>
        <v>6743572123.4421263</v>
      </c>
      <c r="AM8" s="43">
        <f t="shared" si="10"/>
        <v>6557862906.3846912</v>
      </c>
      <c r="AN8" s="43">
        <f t="shared" si="11"/>
        <v>6108000000</v>
      </c>
      <c r="AO8" s="43">
        <f t="shared" si="12"/>
        <v>27541358828.893394</v>
      </c>
      <c r="AR8" s="40">
        <v>39161</v>
      </c>
      <c r="AS8" s="85">
        <v>0</v>
      </c>
      <c r="AT8" s="85">
        <v>0</v>
      </c>
      <c r="AU8" s="85">
        <v>0</v>
      </c>
      <c r="AV8" s="63">
        <v>0</v>
      </c>
      <c r="AW8" s="63">
        <v>0</v>
      </c>
      <c r="AX8" s="63">
        <v>0</v>
      </c>
      <c r="AY8" s="63">
        <v>0</v>
      </c>
      <c r="AZ8" s="63">
        <v>0</v>
      </c>
      <c r="BA8" s="63">
        <v>0</v>
      </c>
      <c r="BB8" s="63">
        <v>0</v>
      </c>
      <c r="BC8" s="63">
        <v>0</v>
      </c>
      <c r="BD8" s="63">
        <v>0</v>
      </c>
      <c r="BE8" s="63">
        <v>0</v>
      </c>
      <c r="BF8" s="63">
        <v>0</v>
      </c>
      <c r="BG8" s="63">
        <v>0</v>
      </c>
      <c r="BH8" s="63">
        <v>0</v>
      </c>
      <c r="BJ8" s="40">
        <v>39161</v>
      </c>
      <c r="BK8" s="43">
        <f t="shared" si="13"/>
        <v>0</v>
      </c>
      <c r="BL8" s="43">
        <f t="shared" si="14"/>
        <v>0</v>
      </c>
      <c r="BM8" s="43">
        <f t="shared" si="15"/>
        <v>0</v>
      </c>
      <c r="BN8" s="43">
        <f t="shared" si="16"/>
        <v>0</v>
      </c>
      <c r="BO8" s="43">
        <f t="shared" si="17"/>
        <v>0</v>
      </c>
      <c r="BP8" s="43">
        <f t="shared" si="18"/>
        <v>0</v>
      </c>
      <c r="BQ8" s="43">
        <f t="shared" si="19"/>
        <v>0</v>
      </c>
      <c r="BR8" s="43">
        <f t="shared" si="20"/>
        <v>0</v>
      </c>
      <c r="BS8" s="43">
        <f t="shared" si="21"/>
        <v>0</v>
      </c>
      <c r="BT8" s="43">
        <f t="shared" si="22"/>
        <v>0</v>
      </c>
      <c r="BU8" s="43">
        <f t="shared" si="23"/>
        <v>0</v>
      </c>
      <c r="BV8" s="43">
        <f t="shared" si="24"/>
        <v>0</v>
      </c>
      <c r="BW8" s="43">
        <f t="shared" si="25"/>
        <v>0</v>
      </c>
      <c r="BX8" s="43">
        <f t="shared" si="26"/>
        <v>0</v>
      </c>
      <c r="BY8" s="43">
        <f t="shared" si="27"/>
        <v>0</v>
      </c>
      <c r="BZ8" s="43">
        <f t="shared" si="28"/>
        <v>0</v>
      </c>
      <c r="CA8" s="40">
        <v>39161</v>
      </c>
      <c r="CB8" s="43">
        <f t="shared" si="29"/>
        <v>0</v>
      </c>
      <c r="CC8" s="43">
        <f t="shared" si="30"/>
        <v>0</v>
      </c>
      <c r="CD8" s="43">
        <f t="shared" si="31"/>
        <v>0</v>
      </c>
      <c r="CE8" s="43">
        <f t="shared" si="32"/>
        <v>0</v>
      </c>
      <c r="CF8" s="43">
        <f t="shared" si="33"/>
        <v>0</v>
      </c>
      <c r="CG8" s="43">
        <f t="shared" si="34"/>
        <v>0</v>
      </c>
      <c r="CH8" s="43">
        <f t="shared" si="35"/>
        <v>0</v>
      </c>
      <c r="CI8" s="43">
        <f t="shared" si="36"/>
        <v>0</v>
      </c>
      <c r="CJ8" s="43">
        <f t="shared" si="37"/>
        <v>0</v>
      </c>
      <c r="CK8" s="43">
        <f t="shared" si="38"/>
        <v>0</v>
      </c>
      <c r="CL8" s="43">
        <f t="shared" si="39"/>
        <v>0</v>
      </c>
      <c r="CM8" s="43">
        <f t="shared" si="40"/>
        <v>0</v>
      </c>
      <c r="CN8" s="43">
        <f t="shared" si="41"/>
        <v>0</v>
      </c>
      <c r="CO8" s="43">
        <f t="shared" si="42"/>
        <v>0</v>
      </c>
      <c r="CP8" s="43">
        <f t="shared" si="43"/>
        <v>0</v>
      </c>
      <c r="CQ8" s="43">
        <f t="shared" si="44"/>
        <v>0</v>
      </c>
      <c r="CR8" s="64">
        <f t="shared" si="45"/>
        <v>0</v>
      </c>
      <c r="CT8" s="40">
        <v>39161</v>
      </c>
      <c r="CU8" s="71">
        <f>+CU$3-SUM(AS$4:AS8)</f>
        <v>1472851675.6199999</v>
      </c>
      <c r="CV8" s="71">
        <f>+CV$3-SUM(AT$4:AT8)</f>
        <v>352709217.06</v>
      </c>
      <c r="CW8" s="71">
        <f>+CW$3-SUM(AU$4:AU8)</f>
        <v>472862906.38</v>
      </c>
      <c r="CX8" s="71">
        <f>+CX$3-SUM(AV$4:AV8)</f>
        <v>2596000000</v>
      </c>
      <c r="CY8" s="71">
        <f>+CY$3-SUM(AW$4:AW8)</f>
        <v>1698999999.9999998</v>
      </c>
      <c r="CZ8" s="71">
        <f>+CZ$3-SUM(AX$4:AX8)</f>
        <v>1038500000</v>
      </c>
      <c r="DA8" s="71">
        <f>+DA$3-SUM(AY$4:AY8)</f>
        <v>500000000</v>
      </c>
      <c r="DB8" s="71">
        <f>+DB$3-SUM(AZ$4:AZ8)</f>
        <v>84500000</v>
      </c>
      <c r="DC8" s="71">
        <f>+DC$3-SUM(BA$4:BA8)</f>
        <v>167000000</v>
      </c>
      <c r="DD8" s="71">
        <f>+DD$3-SUM(BB$4:BB8)</f>
        <v>23000000</v>
      </c>
      <c r="DE8" s="71">
        <f>+DE$3-SUM(BC$4:BC8)</f>
        <v>74500000</v>
      </c>
      <c r="DF8" s="71">
        <f>+DF$3-SUM(BD$4:BD8)</f>
        <v>91000000</v>
      </c>
      <c r="DG8" s="71">
        <f>+DG$3-SUM(BE$4:BE8)</f>
        <v>56000000</v>
      </c>
      <c r="DH8" s="71">
        <f>+DH$3-SUM(BF$4:BF8)</f>
        <v>70000000</v>
      </c>
      <c r="DI8" s="71">
        <f>+DI$3-SUM(BG$4:BG8)</f>
        <v>211000000.00000003</v>
      </c>
      <c r="DJ8" s="71">
        <f>+DJ$3-SUM(BH$4:BH8)</f>
        <v>20000000</v>
      </c>
    </row>
    <row r="9" spans="1:114">
      <c r="A9" s="75">
        <v>39192</v>
      </c>
      <c r="B9" s="76">
        <f t="shared" si="3"/>
        <v>1472851675.62445</v>
      </c>
      <c r="C9" s="76">
        <f t="shared" ref="C9:Q9" si="50">+C96</f>
        <v>352709217.05743408</v>
      </c>
      <c r="D9" s="76">
        <f t="shared" si="50"/>
        <v>472862906.38469189</v>
      </c>
      <c r="E9" s="76">
        <f t="shared" si="50"/>
        <v>2596000000</v>
      </c>
      <c r="F9" s="76">
        <f t="shared" si="50"/>
        <v>1698999999.9999998</v>
      </c>
      <c r="G9" s="76">
        <f t="shared" si="50"/>
        <v>1038500000</v>
      </c>
      <c r="H9" s="76">
        <f t="shared" si="50"/>
        <v>500000000</v>
      </c>
      <c r="I9" s="76">
        <f t="shared" si="50"/>
        <v>84500000</v>
      </c>
      <c r="J9" s="76">
        <f t="shared" si="50"/>
        <v>167000000</v>
      </c>
      <c r="K9" s="76">
        <f t="shared" si="50"/>
        <v>23000000</v>
      </c>
      <c r="L9" s="76">
        <f t="shared" si="50"/>
        <v>74500000</v>
      </c>
      <c r="M9" s="76">
        <f t="shared" si="50"/>
        <v>91000000</v>
      </c>
      <c r="N9" s="76">
        <f t="shared" si="50"/>
        <v>56000000</v>
      </c>
      <c r="O9" s="76">
        <f t="shared" si="50"/>
        <v>70000000</v>
      </c>
      <c r="P9" s="76">
        <f t="shared" si="50"/>
        <v>211000000.00000003</v>
      </c>
      <c r="Q9" s="76">
        <f t="shared" si="50"/>
        <v>20000000</v>
      </c>
      <c r="R9" s="189"/>
      <c r="S9" s="40">
        <v>39192</v>
      </c>
      <c r="T9" s="82">
        <f t="shared" si="47"/>
        <v>0</v>
      </c>
      <c r="U9" s="82">
        <f t="shared" si="7"/>
        <v>0</v>
      </c>
      <c r="V9" s="82">
        <f t="shared" si="7"/>
        <v>0</v>
      </c>
      <c r="W9" s="82">
        <f t="shared" si="7"/>
        <v>0</v>
      </c>
      <c r="X9" s="82">
        <f t="shared" si="7"/>
        <v>0</v>
      </c>
      <c r="Y9" s="82">
        <f t="shared" si="7"/>
        <v>0</v>
      </c>
      <c r="Z9" s="82">
        <f t="shared" si="7"/>
        <v>0</v>
      </c>
      <c r="AA9" s="82">
        <f t="shared" si="7"/>
        <v>0</v>
      </c>
      <c r="AB9" s="82">
        <f t="shared" si="7"/>
        <v>0</v>
      </c>
      <c r="AC9" s="82">
        <f t="shared" si="7"/>
        <v>0</v>
      </c>
      <c r="AD9" s="82">
        <f t="shared" si="7"/>
        <v>0</v>
      </c>
      <c r="AE9" s="82">
        <f t="shared" si="7"/>
        <v>0</v>
      </c>
      <c r="AF9" s="82">
        <f t="shared" si="7"/>
        <v>0</v>
      </c>
      <c r="AG9" s="82">
        <f t="shared" si="7"/>
        <v>0</v>
      </c>
      <c r="AH9" s="82">
        <f t="shared" si="7"/>
        <v>0</v>
      </c>
      <c r="AI9" s="82">
        <f t="shared" si="7"/>
        <v>0</v>
      </c>
      <c r="AJ9" s="40">
        <v>39192</v>
      </c>
      <c r="AK9" s="187">
        <f t="shared" si="8"/>
        <v>8131923799.066576</v>
      </c>
      <c r="AL9" s="43">
        <f t="shared" si="9"/>
        <v>6743572123.4421263</v>
      </c>
      <c r="AM9" s="43">
        <f t="shared" si="10"/>
        <v>6557862906.3846912</v>
      </c>
      <c r="AN9" s="43">
        <f t="shared" si="11"/>
        <v>6108000000</v>
      </c>
      <c r="AO9" s="43">
        <f t="shared" si="12"/>
        <v>27541358828.893394</v>
      </c>
      <c r="AR9" s="40">
        <v>39192</v>
      </c>
      <c r="AS9" s="85">
        <v>0</v>
      </c>
      <c r="AT9" s="85">
        <v>0</v>
      </c>
      <c r="AU9" s="85">
        <v>0</v>
      </c>
      <c r="AV9" s="63">
        <v>0</v>
      </c>
      <c r="AW9" s="63">
        <v>0</v>
      </c>
      <c r="AX9" s="63">
        <v>0</v>
      </c>
      <c r="AY9" s="63">
        <v>0</v>
      </c>
      <c r="AZ9" s="63">
        <v>0</v>
      </c>
      <c r="BA9" s="63">
        <v>0</v>
      </c>
      <c r="BB9" s="63">
        <v>0</v>
      </c>
      <c r="BC9" s="63">
        <v>0</v>
      </c>
      <c r="BD9" s="63">
        <v>0</v>
      </c>
      <c r="BE9" s="63">
        <v>0</v>
      </c>
      <c r="BF9" s="63">
        <v>0</v>
      </c>
      <c r="BG9" s="63">
        <v>0</v>
      </c>
      <c r="BH9" s="63">
        <v>0</v>
      </c>
      <c r="BJ9" s="40">
        <v>39192</v>
      </c>
      <c r="BK9" s="43">
        <f t="shared" si="13"/>
        <v>0</v>
      </c>
      <c r="BL9" s="43">
        <f t="shared" si="14"/>
        <v>0</v>
      </c>
      <c r="BM9" s="43">
        <f t="shared" si="15"/>
        <v>0</v>
      </c>
      <c r="BN9" s="43">
        <f t="shared" si="16"/>
        <v>0</v>
      </c>
      <c r="BO9" s="43">
        <f t="shared" si="17"/>
        <v>0</v>
      </c>
      <c r="BP9" s="43">
        <f t="shared" si="18"/>
        <v>0</v>
      </c>
      <c r="BQ9" s="43">
        <f t="shared" si="19"/>
        <v>0</v>
      </c>
      <c r="BR9" s="43">
        <f t="shared" si="20"/>
        <v>0</v>
      </c>
      <c r="BS9" s="43">
        <f t="shared" si="21"/>
        <v>0</v>
      </c>
      <c r="BT9" s="43">
        <f t="shared" si="22"/>
        <v>0</v>
      </c>
      <c r="BU9" s="43">
        <f t="shared" si="23"/>
        <v>0</v>
      </c>
      <c r="BV9" s="43">
        <f t="shared" si="24"/>
        <v>0</v>
      </c>
      <c r="BW9" s="43">
        <f t="shared" si="25"/>
        <v>0</v>
      </c>
      <c r="BX9" s="43">
        <f t="shared" si="26"/>
        <v>0</v>
      </c>
      <c r="BY9" s="43">
        <f t="shared" si="27"/>
        <v>0</v>
      </c>
      <c r="BZ9" s="43">
        <f t="shared" si="28"/>
        <v>0</v>
      </c>
      <c r="CA9" s="40">
        <v>39192</v>
      </c>
      <c r="CB9" s="43">
        <f t="shared" si="29"/>
        <v>0</v>
      </c>
      <c r="CC9" s="43">
        <f t="shared" si="30"/>
        <v>0</v>
      </c>
      <c r="CD9" s="43">
        <f t="shared" si="31"/>
        <v>0</v>
      </c>
      <c r="CE9" s="43">
        <f t="shared" si="32"/>
        <v>0</v>
      </c>
      <c r="CF9" s="43">
        <f t="shared" si="33"/>
        <v>0</v>
      </c>
      <c r="CG9" s="43">
        <f t="shared" si="34"/>
        <v>0</v>
      </c>
      <c r="CH9" s="43">
        <f t="shared" si="35"/>
        <v>0</v>
      </c>
      <c r="CI9" s="43">
        <f t="shared" si="36"/>
        <v>0</v>
      </c>
      <c r="CJ9" s="43">
        <f t="shared" si="37"/>
        <v>0</v>
      </c>
      <c r="CK9" s="43">
        <f t="shared" si="38"/>
        <v>0</v>
      </c>
      <c r="CL9" s="43">
        <f t="shared" si="39"/>
        <v>0</v>
      </c>
      <c r="CM9" s="43">
        <f t="shared" si="40"/>
        <v>0</v>
      </c>
      <c r="CN9" s="43">
        <f t="shared" si="41"/>
        <v>0</v>
      </c>
      <c r="CO9" s="43">
        <f t="shared" si="42"/>
        <v>0</v>
      </c>
      <c r="CP9" s="43">
        <f t="shared" si="43"/>
        <v>0</v>
      </c>
      <c r="CQ9" s="43">
        <f t="shared" si="44"/>
        <v>0</v>
      </c>
      <c r="CR9" s="64">
        <f t="shared" si="45"/>
        <v>0</v>
      </c>
      <c r="CT9" s="40">
        <v>39192</v>
      </c>
      <c r="CU9" s="71">
        <f>+CU$3-SUM(AS$4:AS9)</f>
        <v>1472851675.6199999</v>
      </c>
      <c r="CV9" s="191">
        <f>+CV$3-SUM(AT$4:AT9)</f>
        <v>352709217.06</v>
      </c>
      <c r="CW9" s="71">
        <f>+CW$3-SUM(AU$4:AU9)</f>
        <v>472862906.38</v>
      </c>
      <c r="CX9" s="71">
        <f>+CX$3-SUM(AV$4:AV9)</f>
        <v>2596000000</v>
      </c>
      <c r="CY9" s="71">
        <f>+CY$3-SUM(AW$4:AW9)</f>
        <v>1698999999.9999998</v>
      </c>
      <c r="CZ9" s="71">
        <f>+CZ$3-SUM(AX$4:AX9)</f>
        <v>1038500000</v>
      </c>
      <c r="DA9" s="71">
        <f>+DA$3-SUM(AY$4:AY9)</f>
        <v>500000000</v>
      </c>
      <c r="DB9" s="71">
        <f>+DB$3-SUM(AZ$4:AZ9)</f>
        <v>84500000</v>
      </c>
      <c r="DC9" s="71">
        <f>+DC$3-SUM(BA$4:BA9)</f>
        <v>167000000</v>
      </c>
      <c r="DD9" s="71">
        <f>+DD$3-SUM(BB$4:BB9)</f>
        <v>23000000</v>
      </c>
      <c r="DE9" s="71">
        <f>+DE$3-SUM(BC$4:BC9)</f>
        <v>74500000</v>
      </c>
      <c r="DF9" s="71">
        <f>+DF$3-SUM(BD$4:BD9)</f>
        <v>91000000</v>
      </c>
      <c r="DG9" s="71">
        <f>+DG$3-SUM(BE$4:BE9)</f>
        <v>56000000</v>
      </c>
      <c r="DH9" s="71">
        <f>+DH$3-SUM(BF$4:BF9)</f>
        <v>70000000</v>
      </c>
      <c r="DI9" s="71">
        <f>+DI$3-SUM(BG$4:BG9)</f>
        <v>211000000.00000003</v>
      </c>
      <c r="DJ9" s="71">
        <f>+DJ$3-SUM(BH$4:BH9)</f>
        <v>20000000</v>
      </c>
    </row>
    <row r="10" spans="1:114">
      <c r="A10" s="75">
        <v>39223</v>
      </c>
      <c r="B10" s="76">
        <f t="shared" si="3"/>
        <v>1172706924.5607867</v>
      </c>
      <c r="C10" s="76">
        <f t="shared" ref="C10:Q10" si="51">+C97</f>
        <v>280832447.72376734</v>
      </c>
      <c r="D10" s="76">
        <f t="shared" si="51"/>
        <v>376500644.20109475</v>
      </c>
      <c r="E10" s="76">
        <f t="shared" si="51"/>
        <v>2596000000</v>
      </c>
      <c r="F10" s="76">
        <f t="shared" si="51"/>
        <v>1698999999.9999998</v>
      </c>
      <c r="G10" s="76">
        <f t="shared" si="51"/>
        <v>1038500000</v>
      </c>
      <c r="H10" s="76">
        <f t="shared" si="51"/>
        <v>500000000</v>
      </c>
      <c r="I10" s="76">
        <f t="shared" si="51"/>
        <v>84500000</v>
      </c>
      <c r="J10" s="76">
        <f t="shared" si="51"/>
        <v>167000000</v>
      </c>
      <c r="K10" s="76">
        <f t="shared" si="51"/>
        <v>23000000</v>
      </c>
      <c r="L10" s="76">
        <f t="shared" si="51"/>
        <v>74500000</v>
      </c>
      <c r="M10" s="76">
        <f t="shared" si="51"/>
        <v>91000000</v>
      </c>
      <c r="N10" s="76">
        <f t="shared" si="51"/>
        <v>56000000</v>
      </c>
      <c r="O10" s="76">
        <f t="shared" si="51"/>
        <v>70000000</v>
      </c>
      <c r="P10" s="76">
        <f t="shared" si="51"/>
        <v>211000000.00000003</v>
      </c>
      <c r="Q10" s="76">
        <f t="shared" si="51"/>
        <v>20000000</v>
      </c>
      <c r="R10" s="189"/>
      <c r="S10" s="40">
        <v>39223</v>
      </c>
      <c r="T10" s="82">
        <f t="shared" si="47"/>
        <v>300144751.06</v>
      </c>
      <c r="U10" s="82">
        <f>+ROUND(C9-C10,2)</f>
        <v>71876769.329999998</v>
      </c>
      <c r="V10" s="82">
        <f t="shared" si="7"/>
        <v>96362262.180000007</v>
      </c>
      <c r="W10" s="82">
        <f t="shared" si="7"/>
        <v>0</v>
      </c>
      <c r="X10" s="82">
        <f t="shared" si="7"/>
        <v>0</v>
      </c>
      <c r="Y10" s="82">
        <f t="shared" si="7"/>
        <v>0</v>
      </c>
      <c r="Z10" s="82">
        <f t="shared" si="7"/>
        <v>0</v>
      </c>
      <c r="AA10" s="82">
        <f t="shared" si="7"/>
        <v>0</v>
      </c>
      <c r="AB10" s="82">
        <f t="shared" si="7"/>
        <v>0</v>
      </c>
      <c r="AC10" s="82">
        <f t="shared" si="7"/>
        <v>0</v>
      </c>
      <c r="AD10" s="82">
        <f t="shared" si="7"/>
        <v>0</v>
      </c>
      <c r="AE10" s="82">
        <f t="shared" si="7"/>
        <v>0</v>
      </c>
      <c r="AF10" s="82">
        <f t="shared" si="7"/>
        <v>0</v>
      </c>
      <c r="AG10" s="82">
        <f t="shared" si="7"/>
        <v>0</v>
      </c>
      <c r="AH10" s="82">
        <f t="shared" si="7"/>
        <v>0</v>
      </c>
      <c r="AI10" s="82">
        <f t="shared" si="7"/>
        <v>0</v>
      </c>
      <c r="AJ10" s="40">
        <v>39223</v>
      </c>
      <c r="AK10" s="187">
        <f t="shared" si="8"/>
        <v>7663540016.4856491</v>
      </c>
      <c r="AL10" s="43">
        <f t="shared" si="9"/>
        <v>6575333091.9248619</v>
      </c>
      <c r="AM10" s="43">
        <f t="shared" si="10"/>
        <v>6461500644.2010946</v>
      </c>
      <c r="AN10" s="43">
        <f t="shared" si="11"/>
        <v>6108000000</v>
      </c>
      <c r="AO10" s="43">
        <f t="shared" si="12"/>
        <v>26808373752.611607</v>
      </c>
      <c r="AR10" s="40">
        <v>39223</v>
      </c>
      <c r="AS10" s="85">
        <v>300144751.06</v>
      </c>
      <c r="AT10" s="85">
        <v>71876769.329999998</v>
      </c>
      <c r="AU10" s="85">
        <v>96362262.180000007</v>
      </c>
      <c r="AV10" s="63">
        <v>0</v>
      </c>
      <c r="AW10" s="63">
        <v>0</v>
      </c>
      <c r="AX10" s="63">
        <v>0</v>
      </c>
      <c r="AY10" s="63">
        <v>0</v>
      </c>
      <c r="AZ10" s="63">
        <v>0</v>
      </c>
      <c r="BA10" s="63">
        <v>0</v>
      </c>
      <c r="BB10" s="63">
        <v>0</v>
      </c>
      <c r="BC10" s="63">
        <v>0</v>
      </c>
      <c r="BD10" s="63">
        <v>0</v>
      </c>
      <c r="BE10" s="63">
        <v>0</v>
      </c>
      <c r="BF10" s="63">
        <v>0</v>
      </c>
      <c r="BG10" s="63">
        <v>0</v>
      </c>
      <c r="BH10" s="63">
        <v>0</v>
      </c>
      <c r="BJ10" s="40">
        <v>39223</v>
      </c>
      <c r="BK10" s="43">
        <f t="shared" si="13"/>
        <v>0</v>
      </c>
      <c r="BL10" s="43">
        <f t="shared" si="14"/>
        <v>0</v>
      </c>
      <c r="BM10" s="43">
        <f t="shared" si="15"/>
        <v>0</v>
      </c>
      <c r="BN10" s="43">
        <f t="shared" si="16"/>
        <v>0</v>
      </c>
      <c r="BO10" s="43">
        <f t="shared" si="17"/>
        <v>0</v>
      </c>
      <c r="BP10" s="43">
        <f t="shared" si="18"/>
        <v>0</v>
      </c>
      <c r="BQ10" s="43">
        <f t="shared" si="19"/>
        <v>0</v>
      </c>
      <c r="BR10" s="43">
        <f t="shared" si="20"/>
        <v>0</v>
      </c>
      <c r="BS10" s="43">
        <f t="shared" si="21"/>
        <v>0</v>
      </c>
      <c r="BT10" s="43">
        <f t="shared" si="22"/>
        <v>0</v>
      </c>
      <c r="BU10" s="43">
        <f t="shared" si="23"/>
        <v>0</v>
      </c>
      <c r="BV10" s="43">
        <f t="shared" si="24"/>
        <v>0</v>
      </c>
      <c r="BW10" s="43">
        <f t="shared" si="25"/>
        <v>0</v>
      </c>
      <c r="BX10" s="43">
        <f t="shared" si="26"/>
        <v>0</v>
      </c>
      <c r="BY10" s="43">
        <f t="shared" si="27"/>
        <v>0</v>
      </c>
      <c r="BZ10" s="43">
        <f t="shared" si="28"/>
        <v>0</v>
      </c>
      <c r="CA10" s="40">
        <v>39223</v>
      </c>
      <c r="CB10" s="43">
        <f t="shared" si="29"/>
        <v>0</v>
      </c>
      <c r="CC10" s="43">
        <f t="shared" si="30"/>
        <v>0</v>
      </c>
      <c r="CD10" s="43">
        <f t="shared" si="31"/>
        <v>0</v>
      </c>
      <c r="CE10" s="43">
        <f t="shared" si="32"/>
        <v>0</v>
      </c>
      <c r="CF10" s="43">
        <f t="shared" si="33"/>
        <v>0</v>
      </c>
      <c r="CG10" s="43">
        <f t="shared" si="34"/>
        <v>0</v>
      </c>
      <c r="CH10" s="43">
        <f t="shared" si="35"/>
        <v>0</v>
      </c>
      <c r="CI10" s="43">
        <f t="shared" si="36"/>
        <v>0</v>
      </c>
      <c r="CJ10" s="43">
        <f t="shared" si="37"/>
        <v>0</v>
      </c>
      <c r="CK10" s="43">
        <f t="shared" si="38"/>
        <v>0</v>
      </c>
      <c r="CL10" s="43">
        <f t="shared" si="39"/>
        <v>0</v>
      </c>
      <c r="CM10" s="43">
        <f t="shared" si="40"/>
        <v>0</v>
      </c>
      <c r="CN10" s="43">
        <f t="shared" si="41"/>
        <v>0</v>
      </c>
      <c r="CO10" s="43">
        <f t="shared" si="42"/>
        <v>0</v>
      </c>
      <c r="CP10" s="43">
        <f t="shared" si="43"/>
        <v>0</v>
      </c>
      <c r="CQ10" s="43">
        <f t="shared" si="44"/>
        <v>0</v>
      </c>
      <c r="CR10" s="64">
        <f t="shared" si="45"/>
        <v>0</v>
      </c>
      <c r="CT10" s="40">
        <f>+A10</f>
        <v>39223</v>
      </c>
      <c r="CU10" s="71">
        <f>+CU$3-SUM(AS$4:AS10)</f>
        <v>1172706924.5599999</v>
      </c>
      <c r="CV10" s="71">
        <f>+CV$3-SUM(AT$4:AT10)</f>
        <v>280832447.73000002</v>
      </c>
      <c r="CW10" s="71">
        <f>+CW$3-SUM(AU$4:AU10)</f>
        <v>376500644.19999999</v>
      </c>
      <c r="CX10" s="71">
        <f>+CX$3-SUM(AV$4:AV10)</f>
        <v>2596000000</v>
      </c>
      <c r="CY10" s="71">
        <f>+CY$3-SUM(AW$4:AW10)</f>
        <v>1698999999.9999998</v>
      </c>
      <c r="CZ10" s="71">
        <f>+CZ$3-SUM(AX$4:AX10)</f>
        <v>1038500000</v>
      </c>
      <c r="DA10" s="71">
        <f>+DA$3-SUM(AY$4:AY10)</f>
        <v>500000000</v>
      </c>
      <c r="DB10" s="71">
        <f>+DB$3-SUM(AZ$4:AZ10)</f>
        <v>84500000</v>
      </c>
      <c r="DC10" s="71">
        <f>+DC$3-SUM(BA$4:BA10)</f>
        <v>167000000</v>
      </c>
      <c r="DD10" s="71">
        <f>+DD$3-SUM(BB$4:BB10)</f>
        <v>23000000</v>
      </c>
      <c r="DE10" s="71">
        <f>+DE$3-SUM(BC$4:BC10)</f>
        <v>74500000</v>
      </c>
      <c r="DF10" s="71">
        <f>+DF$3-SUM(BD$4:BD10)</f>
        <v>91000000</v>
      </c>
      <c r="DG10" s="71">
        <f>+DG$3-SUM(BE$4:BE10)</f>
        <v>56000000</v>
      </c>
      <c r="DH10" s="71">
        <f>+DH$3-SUM(BF$4:BF10)</f>
        <v>70000000</v>
      </c>
      <c r="DI10" s="71">
        <f>+DI$3-SUM(BG$4:BG10)</f>
        <v>211000000.00000003</v>
      </c>
      <c r="DJ10" s="71">
        <f>+DJ$3-SUM(BH$4:BH10)</f>
        <v>20000000</v>
      </c>
    </row>
    <row r="11" spans="1:114">
      <c r="A11" s="75">
        <v>39253</v>
      </c>
      <c r="B11" s="76">
        <f t="shared" si="3"/>
        <v>1172706924.5607867</v>
      </c>
      <c r="C11" s="76">
        <f t="shared" ref="C11:Q11" si="52">+C98</f>
        <v>280832447.72376734</v>
      </c>
      <c r="D11" s="76">
        <f t="shared" si="52"/>
        <v>376500644.20109475</v>
      </c>
      <c r="E11" s="76">
        <f t="shared" si="52"/>
        <v>2596000000</v>
      </c>
      <c r="F11" s="76">
        <f t="shared" si="52"/>
        <v>1698999999.9999998</v>
      </c>
      <c r="G11" s="76">
        <f t="shared" si="52"/>
        <v>1038500000</v>
      </c>
      <c r="H11" s="76">
        <f t="shared" si="52"/>
        <v>500000000</v>
      </c>
      <c r="I11" s="76">
        <f t="shared" si="52"/>
        <v>84500000</v>
      </c>
      <c r="J11" s="76">
        <f t="shared" si="52"/>
        <v>167000000</v>
      </c>
      <c r="K11" s="76">
        <f t="shared" si="52"/>
        <v>23000000</v>
      </c>
      <c r="L11" s="76">
        <f t="shared" si="52"/>
        <v>74500000</v>
      </c>
      <c r="M11" s="76">
        <f t="shared" si="52"/>
        <v>91000000</v>
      </c>
      <c r="N11" s="76">
        <f t="shared" si="52"/>
        <v>56000000</v>
      </c>
      <c r="O11" s="76">
        <f t="shared" si="52"/>
        <v>70000000</v>
      </c>
      <c r="P11" s="76">
        <f t="shared" si="52"/>
        <v>211000000.00000003</v>
      </c>
      <c r="Q11" s="76">
        <f t="shared" si="52"/>
        <v>20000000</v>
      </c>
      <c r="S11" s="40">
        <v>39253</v>
      </c>
      <c r="T11" s="82">
        <f t="shared" si="47"/>
        <v>0</v>
      </c>
      <c r="U11" s="82">
        <f t="shared" si="7"/>
        <v>0</v>
      </c>
      <c r="V11" s="82">
        <f t="shared" si="7"/>
        <v>0</v>
      </c>
      <c r="W11" s="82">
        <f t="shared" si="7"/>
        <v>0</v>
      </c>
      <c r="X11" s="82">
        <f t="shared" si="7"/>
        <v>0</v>
      </c>
      <c r="Y11" s="82">
        <f t="shared" si="7"/>
        <v>0</v>
      </c>
      <c r="Z11" s="82">
        <f t="shared" si="7"/>
        <v>0</v>
      </c>
      <c r="AA11" s="82">
        <f t="shared" si="7"/>
        <v>0</v>
      </c>
      <c r="AB11" s="82">
        <f t="shared" si="7"/>
        <v>0</v>
      </c>
      <c r="AC11" s="82">
        <f t="shared" si="7"/>
        <v>0</v>
      </c>
      <c r="AD11" s="82">
        <f t="shared" si="7"/>
        <v>0</v>
      </c>
      <c r="AE11" s="82">
        <f t="shared" si="7"/>
        <v>0</v>
      </c>
      <c r="AF11" s="82">
        <f t="shared" si="7"/>
        <v>0</v>
      </c>
      <c r="AG11" s="82">
        <f t="shared" si="7"/>
        <v>0</v>
      </c>
      <c r="AH11" s="82">
        <f t="shared" si="7"/>
        <v>0</v>
      </c>
      <c r="AI11" s="82">
        <f t="shared" si="7"/>
        <v>0</v>
      </c>
      <c r="AJ11" s="40">
        <v>39253</v>
      </c>
      <c r="AK11" s="187">
        <f t="shared" si="8"/>
        <v>7663540016.4856491</v>
      </c>
      <c r="AL11" s="43">
        <f t="shared" si="9"/>
        <v>6575333091.9248619</v>
      </c>
      <c r="AM11" s="43">
        <f t="shared" si="10"/>
        <v>6461500644.2010946</v>
      </c>
      <c r="AN11" s="43">
        <f t="shared" si="11"/>
        <v>6108000000</v>
      </c>
      <c r="AO11" s="43">
        <f t="shared" si="12"/>
        <v>26808373752.611607</v>
      </c>
      <c r="AR11" s="40">
        <v>39253</v>
      </c>
      <c r="AS11" s="85">
        <v>0</v>
      </c>
      <c r="AT11" s="85">
        <v>0</v>
      </c>
      <c r="AU11" s="85">
        <v>0</v>
      </c>
      <c r="AV11" s="63">
        <v>0</v>
      </c>
      <c r="AW11" s="63">
        <v>0</v>
      </c>
      <c r="AX11" s="63">
        <v>0</v>
      </c>
      <c r="AY11" s="63">
        <v>0</v>
      </c>
      <c r="AZ11" s="63">
        <v>0</v>
      </c>
      <c r="BA11" s="63">
        <v>0</v>
      </c>
      <c r="BB11" s="63">
        <v>0</v>
      </c>
      <c r="BC11" s="63">
        <v>0</v>
      </c>
      <c r="BD11" s="63">
        <v>0</v>
      </c>
      <c r="BE11" s="63">
        <v>0</v>
      </c>
      <c r="BF11" s="63">
        <v>0</v>
      </c>
      <c r="BG11" s="63">
        <v>0</v>
      </c>
      <c r="BH11" s="63">
        <v>0</v>
      </c>
      <c r="BJ11" s="40">
        <v>39253</v>
      </c>
      <c r="BK11" s="43">
        <f t="shared" si="13"/>
        <v>0</v>
      </c>
      <c r="BL11" s="43">
        <f t="shared" si="14"/>
        <v>0</v>
      </c>
      <c r="BM11" s="43">
        <f t="shared" si="15"/>
        <v>0</v>
      </c>
      <c r="BN11" s="43">
        <f t="shared" si="16"/>
        <v>0</v>
      </c>
      <c r="BO11" s="43">
        <f t="shared" si="17"/>
        <v>0</v>
      </c>
      <c r="BP11" s="43">
        <f t="shared" si="18"/>
        <v>0</v>
      </c>
      <c r="BQ11" s="43">
        <f t="shared" si="19"/>
        <v>0</v>
      </c>
      <c r="BR11" s="43">
        <f t="shared" si="20"/>
        <v>0</v>
      </c>
      <c r="BS11" s="43">
        <f t="shared" si="21"/>
        <v>0</v>
      </c>
      <c r="BT11" s="43">
        <f t="shared" si="22"/>
        <v>0</v>
      </c>
      <c r="BU11" s="43">
        <f t="shared" si="23"/>
        <v>0</v>
      </c>
      <c r="BV11" s="43">
        <f t="shared" si="24"/>
        <v>0</v>
      </c>
      <c r="BW11" s="43">
        <f t="shared" si="25"/>
        <v>0</v>
      </c>
      <c r="BX11" s="43">
        <f t="shared" si="26"/>
        <v>0</v>
      </c>
      <c r="BY11" s="43">
        <f t="shared" si="27"/>
        <v>0</v>
      </c>
      <c r="BZ11" s="43">
        <f t="shared" si="28"/>
        <v>0</v>
      </c>
      <c r="CA11" s="40">
        <v>39253</v>
      </c>
      <c r="CB11" s="43">
        <f t="shared" si="29"/>
        <v>0</v>
      </c>
      <c r="CC11" s="43">
        <f t="shared" si="30"/>
        <v>0</v>
      </c>
      <c r="CD11" s="43">
        <f t="shared" si="31"/>
        <v>0</v>
      </c>
      <c r="CE11" s="43">
        <f t="shared" si="32"/>
        <v>0</v>
      </c>
      <c r="CF11" s="43">
        <f t="shared" si="33"/>
        <v>0</v>
      </c>
      <c r="CG11" s="43">
        <f t="shared" si="34"/>
        <v>0</v>
      </c>
      <c r="CH11" s="43">
        <f t="shared" si="35"/>
        <v>0</v>
      </c>
      <c r="CI11" s="43">
        <f t="shared" si="36"/>
        <v>0</v>
      </c>
      <c r="CJ11" s="43">
        <f t="shared" si="37"/>
        <v>0</v>
      </c>
      <c r="CK11" s="43">
        <f t="shared" si="38"/>
        <v>0</v>
      </c>
      <c r="CL11" s="43">
        <f t="shared" si="39"/>
        <v>0</v>
      </c>
      <c r="CM11" s="43">
        <f t="shared" si="40"/>
        <v>0</v>
      </c>
      <c r="CN11" s="43">
        <f t="shared" si="41"/>
        <v>0</v>
      </c>
      <c r="CO11" s="43">
        <f t="shared" si="42"/>
        <v>0</v>
      </c>
      <c r="CP11" s="43">
        <f t="shared" si="43"/>
        <v>0</v>
      </c>
      <c r="CQ11" s="43">
        <f t="shared" si="44"/>
        <v>0</v>
      </c>
      <c r="CR11" s="64">
        <f t="shared" si="45"/>
        <v>0</v>
      </c>
      <c r="CT11" s="40">
        <v>39253</v>
      </c>
      <c r="CU11" s="71">
        <f>+CU$3-SUM(AS$4:AS11)</f>
        <v>1172706924.5599999</v>
      </c>
      <c r="CV11" s="71">
        <f>+CV$3-SUM(AT$4:AT11)</f>
        <v>280832447.73000002</v>
      </c>
      <c r="CW11" s="71">
        <f>+CW$3-SUM(AU$4:AU11)</f>
        <v>376500644.19999999</v>
      </c>
      <c r="CX11" s="71">
        <f>+CX$3-SUM(AV$4:AV11)</f>
        <v>2596000000</v>
      </c>
      <c r="CY11" s="71">
        <f>+CY$3-SUM(AW$4:AW11)</f>
        <v>1698999999.9999998</v>
      </c>
      <c r="CZ11" s="71">
        <f>+CZ$3-SUM(AX$4:AX11)</f>
        <v>1038500000</v>
      </c>
      <c r="DA11" s="71">
        <f>+DA$3-SUM(AY$4:AY11)</f>
        <v>500000000</v>
      </c>
      <c r="DB11" s="71">
        <f>+DB$3-SUM(AZ$4:AZ11)</f>
        <v>84500000</v>
      </c>
      <c r="DC11" s="71">
        <f>+DC$3-SUM(BA$4:BA11)</f>
        <v>167000000</v>
      </c>
      <c r="DD11" s="71">
        <f>+DD$3-SUM(BB$4:BB11)</f>
        <v>23000000</v>
      </c>
      <c r="DE11" s="71">
        <f>+DE$3-SUM(BC$4:BC11)</f>
        <v>74500000</v>
      </c>
      <c r="DF11" s="71">
        <f>+DF$3-SUM(BD$4:BD11)</f>
        <v>91000000</v>
      </c>
      <c r="DG11" s="71">
        <f>+DG$3-SUM(BE$4:BE11)</f>
        <v>56000000</v>
      </c>
      <c r="DH11" s="71">
        <f>+DH$3-SUM(BF$4:BF11)</f>
        <v>70000000</v>
      </c>
      <c r="DI11" s="71">
        <f>+DI$3-SUM(BG$4:BG11)</f>
        <v>211000000.00000003</v>
      </c>
      <c r="DJ11" s="71">
        <f>+DJ$3-SUM(BH$4:BH11)</f>
        <v>20000000</v>
      </c>
    </row>
    <row r="12" spans="1:114">
      <c r="A12" s="75">
        <v>39283</v>
      </c>
      <c r="B12" s="76">
        <f t="shared" si="3"/>
        <v>1172706924.5607867</v>
      </c>
      <c r="C12" s="76">
        <f t="shared" ref="C12:Q12" si="53">+C99</f>
        <v>280832447.72376734</v>
      </c>
      <c r="D12" s="76">
        <f t="shared" si="53"/>
        <v>376500644.20109475</v>
      </c>
      <c r="E12" s="76">
        <f t="shared" si="53"/>
        <v>2596000000</v>
      </c>
      <c r="F12" s="76">
        <f t="shared" si="53"/>
        <v>1698999999.9999998</v>
      </c>
      <c r="G12" s="76">
        <f t="shared" si="53"/>
        <v>1038500000</v>
      </c>
      <c r="H12" s="76">
        <f t="shared" si="53"/>
        <v>500000000</v>
      </c>
      <c r="I12" s="76">
        <f t="shared" si="53"/>
        <v>84500000</v>
      </c>
      <c r="J12" s="76">
        <f t="shared" si="53"/>
        <v>167000000</v>
      </c>
      <c r="K12" s="76">
        <f t="shared" si="53"/>
        <v>23000000</v>
      </c>
      <c r="L12" s="76">
        <f t="shared" si="53"/>
        <v>74500000</v>
      </c>
      <c r="M12" s="76">
        <f t="shared" si="53"/>
        <v>91000000</v>
      </c>
      <c r="N12" s="76">
        <f t="shared" si="53"/>
        <v>56000000</v>
      </c>
      <c r="O12" s="76">
        <f t="shared" si="53"/>
        <v>70000000</v>
      </c>
      <c r="P12" s="76">
        <f t="shared" si="53"/>
        <v>211000000.00000003</v>
      </c>
      <c r="Q12" s="76">
        <f t="shared" si="53"/>
        <v>20000000</v>
      </c>
      <c r="S12" s="40">
        <v>39283</v>
      </c>
      <c r="T12" s="82">
        <f t="shared" si="47"/>
        <v>0</v>
      </c>
      <c r="U12" s="82">
        <f t="shared" si="7"/>
        <v>0</v>
      </c>
      <c r="V12" s="82">
        <f t="shared" si="7"/>
        <v>0</v>
      </c>
      <c r="W12" s="82">
        <f t="shared" si="7"/>
        <v>0</v>
      </c>
      <c r="X12" s="82">
        <f t="shared" si="7"/>
        <v>0</v>
      </c>
      <c r="Y12" s="82">
        <f t="shared" si="7"/>
        <v>0</v>
      </c>
      <c r="Z12" s="82">
        <f t="shared" si="7"/>
        <v>0</v>
      </c>
      <c r="AA12" s="82">
        <f t="shared" si="7"/>
        <v>0</v>
      </c>
      <c r="AB12" s="82">
        <f t="shared" si="7"/>
        <v>0</v>
      </c>
      <c r="AC12" s="82">
        <f t="shared" si="7"/>
        <v>0</v>
      </c>
      <c r="AD12" s="82">
        <f t="shared" si="7"/>
        <v>0</v>
      </c>
      <c r="AE12" s="82">
        <f t="shared" si="7"/>
        <v>0</v>
      </c>
      <c r="AF12" s="82">
        <f t="shared" si="7"/>
        <v>0</v>
      </c>
      <c r="AG12" s="82">
        <f t="shared" si="7"/>
        <v>0</v>
      </c>
      <c r="AH12" s="82">
        <f t="shared" si="7"/>
        <v>0</v>
      </c>
      <c r="AI12" s="82">
        <f t="shared" si="7"/>
        <v>0</v>
      </c>
      <c r="AJ12" s="40">
        <v>39283</v>
      </c>
      <c r="AK12" s="187">
        <f t="shared" si="8"/>
        <v>7663540016.4856491</v>
      </c>
      <c r="AL12" s="43">
        <f t="shared" si="9"/>
        <v>6575333091.9248619</v>
      </c>
      <c r="AM12" s="43">
        <f t="shared" si="10"/>
        <v>6461500644.2010946</v>
      </c>
      <c r="AN12" s="43">
        <f t="shared" si="11"/>
        <v>6108000000</v>
      </c>
      <c r="AO12" s="43">
        <f t="shared" si="12"/>
        <v>26808373752.611607</v>
      </c>
      <c r="AR12" s="40">
        <v>39283</v>
      </c>
      <c r="AS12" s="85">
        <v>0</v>
      </c>
      <c r="AT12" s="85">
        <v>0</v>
      </c>
      <c r="AU12" s="85">
        <v>0</v>
      </c>
      <c r="AV12" s="63">
        <v>0</v>
      </c>
      <c r="AW12" s="63">
        <v>0</v>
      </c>
      <c r="AX12" s="63">
        <v>0</v>
      </c>
      <c r="AY12" s="63">
        <v>0</v>
      </c>
      <c r="AZ12" s="63">
        <v>0</v>
      </c>
      <c r="BA12" s="63">
        <v>0</v>
      </c>
      <c r="BB12" s="63">
        <v>0</v>
      </c>
      <c r="BC12" s="63">
        <v>0</v>
      </c>
      <c r="BD12" s="63">
        <v>0</v>
      </c>
      <c r="BE12" s="63">
        <v>0</v>
      </c>
      <c r="BF12" s="63">
        <v>0</v>
      </c>
      <c r="BG12" s="63">
        <v>0</v>
      </c>
      <c r="BH12" s="63">
        <v>0</v>
      </c>
      <c r="BJ12" s="40">
        <v>39283</v>
      </c>
      <c r="BK12" s="43">
        <f t="shared" si="13"/>
        <v>0</v>
      </c>
      <c r="BL12" s="43">
        <f t="shared" si="14"/>
        <v>0</v>
      </c>
      <c r="BM12" s="43">
        <f t="shared" si="15"/>
        <v>0</v>
      </c>
      <c r="BN12" s="43">
        <f t="shared" si="16"/>
        <v>0</v>
      </c>
      <c r="BO12" s="43">
        <f t="shared" si="17"/>
        <v>0</v>
      </c>
      <c r="BP12" s="43">
        <f t="shared" si="18"/>
        <v>0</v>
      </c>
      <c r="BQ12" s="43">
        <f t="shared" si="19"/>
        <v>0</v>
      </c>
      <c r="BR12" s="43">
        <f t="shared" si="20"/>
        <v>0</v>
      </c>
      <c r="BS12" s="43">
        <f t="shared" si="21"/>
        <v>0</v>
      </c>
      <c r="BT12" s="43">
        <f t="shared" si="22"/>
        <v>0</v>
      </c>
      <c r="BU12" s="43">
        <f t="shared" si="23"/>
        <v>0</v>
      </c>
      <c r="BV12" s="43">
        <f t="shared" si="24"/>
        <v>0</v>
      </c>
      <c r="BW12" s="43">
        <f t="shared" si="25"/>
        <v>0</v>
      </c>
      <c r="BX12" s="43">
        <f t="shared" si="26"/>
        <v>0</v>
      </c>
      <c r="BY12" s="43">
        <f t="shared" si="27"/>
        <v>0</v>
      </c>
      <c r="BZ12" s="43">
        <f t="shared" si="28"/>
        <v>0</v>
      </c>
      <c r="CA12" s="40">
        <v>39283</v>
      </c>
      <c r="CB12" s="43">
        <f t="shared" si="29"/>
        <v>0</v>
      </c>
      <c r="CC12" s="43">
        <f t="shared" si="30"/>
        <v>0</v>
      </c>
      <c r="CD12" s="43">
        <f t="shared" si="31"/>
        <v>0</v>
      </c>
      <c r="CE12" s="43">
        <f t="shared" si="32"/>
        <v>0</v>
      </c>
      <c r="CF12" s="43">
        <f t="shared" si="33"/>
        <v>0</v>
      </c>
      <c r="CG12" s="43">
        <f t="shared" si="34"/>
        <v>0</v>
      </c>
      <c r="CH12" s="43">
        <f t="shared" si="35"/>
        <v>0</v>
      </c>
      <c r="CI12" s="43">
        <f t="shared" si="36"/>
        <v>0</v>
      </c>
      <c r="CJ12" s="43">
        <f t="shared" si="37"/>
        <v>0</v>
      </c>
      <c r="CK12" s="43">
        <f t="shared" si="38"/>
        <v>0</v>
      </c>
      <c r="CL12" s="43">
        <f t="shared" si="39"/>
        <v>0</v>
      </c>
      <c r="CM12" s="43">
        <f t="shared" si="40"/>
        <v>0</v>
      </c>
      <c r="CN12" s="43">
        <f t="shared" si="41"/>
        <v>0</v>
      </c>
      <c r="CO12" s="43">
        <f t="shared" si="42"/>
        <v>0</v>
      </c>
      <c r="CP12" s="43">
        <f t="shared" si="43"/>
        <v>0</v>
      </c>
      <c r="CQ12" s="43">
        <f t="shared" si="44"/>
        <v>0</v>
      </c>
      <c r="CR12" s="64">
        <f t="shared" si="45"/>
        <v>0</v>
      </c>
      <c r="CT12" s="40">
        <v>39283</v>
      </c>
      <c r="CU12" s="71">
        <f>+CU$3-SUM(AS$4:AS12)</f>
        <v>1172706924.5599999</v>
      </c>
      <c r="CV12" s="71">
        <f>+CV$3-SUM(AT$4:AT12)</f>
        <v>280832447.73000002</v>
      </c>
      <c r="CW12" s="71">
        <f>+CW$3-SUM(AU$4:AU12)</f>
        <v>376500644.19999999</v>
      </c>
      <c r="CX12" s="71">
        <f>+CX$3-SUM(AV$4:AV12)</f>
        <v>2596000000</v>
      </c>
      <c r="CY12" s="71">
        <f>+CY$3-SUM(AW$4:AW12)</f>
        <v>1698999999.9999998</v>
      </c>
      <c r="CZ12" s="71">
        <f>+CZ$3-SUM(AX$4:AX12)</f>
        <v>1038500000</v>
      </c>
      <c r="DA12" s="71">
        <f>+DA$3-SUM(AY$4:AY12)</f>
        <v>500000000</v>
      </c>
      <c r="DB12" s="71">
        <f>+DB$3-SUM(AZ$4:AZ12)</f>
        <v>84500000</v>
      </c>
      <c r="DC12" s="71">
        <f>+DC$3-SUM(BA$4:BA12)</f>
        <v>167000000</v>
      </c>
      <c r="DD12" s="71">
        <f>+DD$3-SUM(BB$4:BB12)</f>
        <v>23000000</v>
      </c>
      <c r="DE12" s="71">
        <f>+DE$3-SUM(BC$4:BC12)</f>
        <v>74500000</v>
      </c>
      <c r="DF12" s="71">
        <f>+DF$3-SUM(BD$4:BD12)</f>
        <v>91000000</v>
      </c>
      <c r="DG12" s="71">
        <f>+DG$3-SUM(BE$4:BE12)</f>
        <v>56000000</v>
      </c>
      <c r="DH12" s="71">
        <f>+DH$3-SUM(BF$4:BF12)</f>
        <v>70000000</v>
      </c>
      <c r="DI12" s="71">
        <f>+DI$3-SUM(BG$4:BG12)</f>
        <v>211000000.00000003</v>
      </c>
      <c r="DJ12" s="71">
        <f>+DJ$3-SUM(BH$4:BH12)</f>
        <v>20000000</v>
      </c>
    </row>
    <row r="13" spans="1:114">
      <c r="A13" s="75">
        <v>39314</v>
      </c>
      <c r="B13" s="76">
        <f t="shared" si="3"/>
        <v>888847544.75598001</v>
      </c>
      <c r="C13" s="76">
        <f t="shared" ref="C13:Q13" si="54">+C100</f>
        <v>212855596.24419522</v>
      </c>
      <c r="D13" s="76">
        <f t="shared" si="54"/>
        <v>285366843.31639361</v>
      </c>
      <c r="E13" s="76">
        <f t="shared" si="54"/>
        <v>2596000000</v>
      </c>
      <c r="F13" s="76">
        <f t="shared" si="54"/>
        <v>1698999999.9999998</v>
      </c>
      <c r="G13" s="76">
        <f t="shared" si="54"/>
        <v>1038500000</v>
      </c>
      <c r="H13" s="76">
        <f t="shared" si="54"/>
        <v>500000000</v>
      </c>
      <c r="I13" s="76">
        <f t="shared" si="54"/>
        <v>84500000</v>
      </c>
      <c r="J13" s="76">
        <f t="shared" si="54"/>
        <v>167000000</v>
      </c>
      <c r="K13" s="76">
        <f t="shared" si="54"/>
        <v>23000000</v>
      </c>
      <c r="L13" s="76">
        <f t="shared" si="54"/>
        <v>74500000</v>
      </c>
      <c r="M13" s="76">
        <f t="shared" si="54"/>
        <v>91000000</v>
      </c>
      <c r="N13" s="76">
        <f t="shared" si="54"/>
        <v>56000000</v>
      </c>
      <c r="O13" s="76">
        <f t="shared" si="54"/>
        <v>70000000</v>
      </c>
      <c r="P13" s="76">
        <f t="shared" si="54"/>
        <v>211000000.00000003</v>
      </c>
      <c r="Q13" s="76">
        <f t="shared" si="54"/>
        <v>20000000</v>
      </c>
      <c r="S13" s="40">
        <v>39314</v>
      </c>
      <c r="T13" s="82">
        <f t="shared" si="47"/>
        <v>283859379.80000001</v>
      </c>
      <c r="U13" s="82">
        <f t="shared" si="7"/>
        <v>67976851.480000004</v>
      </c>
      <c r="V13" s="82">
        <f t="shared" si="7"/>
        <v>91133800.879999995</v>
      </c>
      <c r="W13" s="82">
        <f t="shared" si="7"/>
        <v>0</v>
      </c>
      <c r="X13" s="82">
        <f t="shared" si="7"/>
        <v>0</v>
      </c>
      <c r="Y13" s="82">
        <f t="shared" si="7"/>
        <v>0</v>
      </c>
      <c r="Z13" s="82">
        <f t="shared" si="7"/>
        <v>0</v>
      </c>
      <c r="AA13" s="82">
        <f t="shared" si="7"/>
        <v>0</v>
      </c>
      <c r="AB13" s="82">
        <f t="shared" si="7"/>
        <v>0</v>
      </c>
      <c r="AC13" s="82">
        <f t="shared" si="7"/>
        <v>0</v>
      </c>
      <c r="AD13" s="82">
        <f t="shared" si="7"/>
        <v>0</v>
      </c>
      <c r="AE13" s="82">
        <f t="shared" si="7"/>
        <v>0</v>
      </c>
      <c r="AF13" s="82">
        <f t="shared" si="7"/>
        <v>0</v>
      </c>
      <c r="AG13" s="82">
        <f t="shared" si="7"/>
        <v>0</v>
      </c>
      <c r="AH13" s="82">
        <f t="shared" si="7"/>
        <v>0</v>
      </c>
      <c r="AI13" s="82">
        <f t="shared" si="7"/>
        <v>0</v>
      </c>
      <c r="AJ13" s="40">
        <v>39314</v>
      </c>
      <c r="AK13" s="187">
        <f t="shared" si="8"/>
        <v>7220569984.3165684</v>
      </c>
      <c r="AL13" s="43">
        <f t="shared" si="9"/>
        <v>6416222439.5605888</v>
      </c>
      <c r="AM13" s="43">
        <f t="shared" si="10"/>
        <v>6370366843.3163939</v>
      </c>
      <c r="AN13" s="43">
        <f t="shared" si="11"/>
        <v>6108000000</v>
      </c>
      <c r="AO13" s="43">
        <f t="shared" si="12"/>
        <v>26115159267.19355</v>
      </c>
      <c r="AR13" s="40">
        <v>39314</v>
      </c>
      <c r="AS13" s="686">
        <v>283859379.80000001</v>
      </c>
      <c r="AT13" s="686">
        <v>67976851.480000004</v>
      </c>
      <c r="AU13" s="686">
        <v>91133800.879999995</v>
      </c>
      <c r="AV13" s="63">
        <v>0</v>
      </c>
      <c r="AW13" s="63">
        <v>0</v>
      </c>
      <c r="AX13" s="63">
        <v>0</v>
      </c>
      <c r="AY13" s="63">
        <v>0</v>
      </c>
      <c r="AZ13" s="63">
        <v>0</v>
      </c>
      <c r="BA13" s="63">
        <v>0</v>
      </c>
      <c r="BB13" s="63">
        <v>0</v>
      </c>
      <c r="BC13" s="63">
        <v>0</v>
      </c>
      <c r="BD13" s="63">
        <v>0</v>
      </c>
      <c r="BE13" s="63">
        <v>0</v>
      </c>
      <c r="BF13" s="63">
        <v>0</v>
      </c>
      <c r="BG13" s="63">
        <v>0</v>
      </c>
      <c r="BH13" s="63">
        <v>0</v>
      </c>
      <c r="BJ13" s="40">
        <v>39314</v>
      </c>
      <c r="BK13" s="43">
        <f t="shared" si="13"/>
        <v>0</v>
      </c>
      <c r="BL13" s="43">
        <f t="shared" si="14"/>
        <v>0</v>
      </c>
      <c r="BM13" s="43">
        <f t="shared" si="15"/>
        <v>0</v>
      </c>
      <c r="BN13" s="43">
        <f t="shared" si="16"/>
        <v>0</v>
      </c>
      <c r="BO13" s="43">
        <f t="shared" si="17"/>
        <v>0</v>
      </c>
      <c r="BP13" s="43">
        <f t="shared" si="18"/>
        <v>0</v>
      </c>
      <c r="BQ13" s="43">
        <f t="shared" si="19"/>
        <v>0</v>
      </c>
      <c r="BR13" s="43">
        <f t="shared" si="20"/>
        <v>0</v>
      </c>
      <c r="BS13" s="43">
        <f t="shared" si="21"/>
        <v>0</v>
      </c>
      <c r="BT13" s="43">
        <f t="shared" si="22"/>
        <v>0</v>
      </c>
      <c r="BU13" s="43">
        <f t="shared" si="23"/>
        <v>0</v>
      </c>
      <c r="BV13" s="43">
        <f t="shared" si="24"/>
        <v>0</v>
      </c>
      <c r="BW13" s="43">
        <f t="shared" si="25"/>
        <v>0</v>
      </c>
      <c r="BX13" s="43">
        <f t="shared" si="26"/>
        <v>0</v>
      </c>
      <c r="BY13" s="43">
        <f t="shared" si="27"/>
        <v>0</v>
      </c>
      <c r="BZ13" s="43">
        <f t="shared" si="28"/>
        <v>0</v>
      </c>
      <c r="CA13" s="40">
        <v>39314</v>
      </c>
      <c r="CB13" s="43">
        <f t="shared" si="29"/>
        <v>0</v>
      </c>
      <c r="CC13" s="43">
        <f t="shared" si="30"/>
        <v>0</v>
      </c>
      <c r="CD13" s="43">
        <f t="shared" si="31"/>
        <v>0</v>
      </c>
      <c r="CE13" s="43">
        <f t="shared" si="32"/>
        <v>0</v>
      </c>
      <c r="CF13" s="43">
        <f t="shared" si="33"/>
        <v>0</v>
      </c>
      <c r="CG13" s="43">
        <f t="shared" si="34"/>
        <v>0</v>
      </c>
      <c r="CH13" s="43">
        <f t="shared" si="35"/>
        <v>0</v>
      </c>
      <c r="CI13" s="43">
        <f t="shared" si="36"/>
        <v>0</v>
      </c>
      <c r="CJ13" s="43">
        <f t="shared" si="37"/>
        <v>0</v>
      </c>
      <c r="CK13" s="43">
        <f t="shared" si="38"/>
        <v>0</v>
      </c>
      <c r="CL13" s="43">
        <f t="shared" si="39"/>
        <v>0</v>
      </c>
      <c r="CM13" s="43">
        <f t="shared" si="40"/>
        <v>0</v>
      </c>
      <c r="CN13" s="43">
        <f t="shared" si="41"/>
        <v>0</v>
      </c>
      <c r="CO13" s="43">
        <f t="shared" si="42"/>
        <v>0</v>
      </c>
      <c r="CP13" s="43">
        <f t="shared" si="43"/>
        <v>0</v>
      </c>
      <c r="CQ13" s="43">
        <f t="shared" si="44"/>
        <v>0</v>
      </c>
      <c r="CR13" s="64">
        <f t="shared" si="45"/>
        <v>0</v>
      </c>
      <c r="CT13" s="40">
        <v>39314</v>
      </c>
      <c r="CU13" s="71">
        <f>+CU$3-SUM(AS$4:AS13)</f>
        <v>888847544.75999999</v>
      </c>
      <c r="CV13" s="71">
        <f>+CV$3-SUM(AT$4:AT13)</f>
        <v>212855596.25</v>
      </c>
      <c r="CW13" s="71">
        <f>+CW$3-SUM(AU$4:AU13)</f>
        <v>285366843.31999999</v>
      </c>
      <c r="CX13" s="71">
        <f>+CX$3-SUM(AV$4:AV13)</f>
        <v>2596000000</v>
      </c>
      <c r="CY13" s="71">
        <f>+CY$3-SUM(AW$4:AW13)</f>
        <v>1698999999.9999998</v>
      </c>
      <c r="CZ13" s="71">
        <f>+CZ$3-SUM(AX$4:AX13)</f>
        <v>1038500000</v>
      </c>
      <c r="DA13" s="71">
        <f>+DA$3-SUM(AY$4:AY13)</f>
        <v>500000000</v>
      </c>
      <c r="DB13" s="71">
        <f>+DB$3-SUM(AZ$4:AZ13)</f>
        <v>84500000</v>
      </c>
      <c r="DC13" s="71">
        <f>+DC$3-SUM(BA$4:BA13)</f>
        <v>167000000</v>
      </c>
      <c r="DD13" s="71">
        <f>+DD$3-SUM(BB$4:BB13)</f>
        <v>23000000</v>
      </c>
      <c r="DE13" s="71">
        <f>+DE$3-SUM(BC$4:BC13)</f>
        <v>74500000</v>
      </c>
      <c r="DF13" s="71">
        <f>+DF$3-SUM(BD$4:BD13)</f>
        <v>91000000</v>
      </c>
      <c r="DG13" s="71">
        <f>+DG$3-SUM(BE$4:BE13)</f>
        <v>56000000</v>
      </c>
      <c r="DH13" s="71">
        <f>+DH$3-SUM(BF$4:BF13)</f>
        <v>70000000</v>
      </c>
      <c r="DI13" s="71">
        <f>+DI$3-SUM(BG$4:BG13)</f>
        <v>211000000.00000003</v>
      </c>
      <c r="DJ13" s="71">
        <f>+DJ$3-SUM(BH$4:BH13)</f>
        <v>20000000</v>
      </c>
    </row>
    <row r="14" spans="1:114">
      <c r="A14" s="75">
        <v>39345</v>
      </c>
      <c r="B14" s="76">
        <f t="shared" si="3"/>
        <v>888847544.75598001</v>
      </c>
      <c r="C14" s="76">
        <f t="shared" ref="C14:Q14" si="55">+C101</f>
        <v>212855596.24419522</v>
      </c>
      <c r="D14" s="76">
        <f t="shared" si="55"/>
        <v>285366843.31639361</v>
      </c>
      <c r="E14" s="76">
        <f t="shared" si="55"/>
        <v>2596000000</v>
      </c>
      <c r="F14" s="76">
        <f t="shared" si="55"/>
        <v>1698999999.9999998</v>
      </c>
      <c r="G14" s="76">
        <f t="shared" si="55"/>
        <v>1038500000</v>
      </c>
      <c r="H14" s="76">
        <f t="shared" si="55"/>
        <v>500000000</v>
      </c>
      <c r="I14" s="76">
        <f t="shared" si="55"/>
        <v>84500000</v>
      </c>
      <c r="J14" s="76">
        <f t="shared" si="55"/>
        <v>167000000</v>
      </c>
      <c r="K14" s="76">
        <f t="shared" si="55"/>
        <v>23000000</v>
      </c>
      <c r="L14" s="76">
        <f t="shared" si="55"/>
        <v>74500000</v>
      </c>
      <c r="M14" s="76">
        <f t="shared" si="55"/>
        <v>91000000</v>
      </c>
      <c r="N14" s="76">
        <f t="shared" si="55"/>
        <v>56000000</v>
      </c>
      <c r="O14" s="76">
        <f t="shared" si="55"/>
        <v>70000000</v>
      </c>
      <c r="P14" s="76">
        <f t="shared" si="55"/>
        <v>211000000.00000003</v>
      </c>
      <c r="Q14" s="76">
        <f t="shared" si="55"/>
        <v>20000000</v>
      </c>
      <c r="S14" s="40">
        <v>39345</v>
      </c>
      <c r="T14" s="82">
        <f t="shared" si="47"/>
        <v>0</v>
      </c>
      <c r="U14" s="82">
        <f t="shared" si="7"/>
        <v>0</v>
      </c>
      <c r="V14" s="82">
        <f t="shared" si="7"/>
        <v>0</v>
      </c>
      <c r="W14" s="82">
        <f t="shared" si="7"/>
        <v>0</v>
      </c>
      <c r="X14" s="82">
        <f t="shared" si="7"/>
        <v>0</v>
      </c>
      <c r="Y14" s="82">
        <f t="shared" si="7"/>
        <v>0</v>
      </c>
      <c r="Z14" s="82">
        <f t="shared" si="7"/>
        <v>0</v>
      </c>
      <c r="AA14" s="82">
        <f t="shared" si="7"/>
        <v>0</v>
      </c>
      <c r="AB14" s="82">
        <f t="shared" si="7"/>
        <v>0</v>
      </c>
      <c r="AC14" s="82">
        <f t="shared" si="7"/>
        <v>0</v>
      </c>
      <c r="AD14" s="82">
        <f t="shared" si="7"/>
        <v>0</v>
      </c>
      <c r="AE14" s="82">
        <f t="shared" si="7"/>
        <v>0</v>
      </c>
      <c r="AF14" s="82">
        <f t="shared" si="7"/>
        <v>0</v>
      </c>
      <c r="AG14" s="82">
        <f t="shared" si="7"/>
        <v>0</v>
      </c>
      <c r="AH14" s="82">
        <f t="shared" si="7"/>
        <v>0</v>
      </c>
      <c r="AI14" s="82">
        <f t="shared" si="7"/>
        <v>0</v>
      </c>
      <c r="AJ14" s="40">
        <v>39345</v>
      </c>
      <c r="AK14" s="187">
        <f t="shared" si="8"/>
        <v>7220569984.3165684</v>
      </c>
      <c r="AL14" s="43">
        <f t="shared" si="9"/>
        <v>6416222439.5605888</v>
      </c>
      <c r="AM14" s="43">
        <f t="shared" si="10"/>
        <v>6370366843.3163939</v>
      </c>
      <c r="AN14" s="43">
        <f t="shared" si="11"/>
        <v>6108000000</v>
      </c>
      <c r="AO14" s="43">
        <f t="shared" si="12"/>
        <v>26115159267.19355</v>
      </c>
      <c r="AR14" s="40">
        <v>39345</v>
      </c>
      <c r="AS14" s="85">
        <v>0</v>
      </c>
      <c r="AT14" s="85">
        <v>0</v>
      </c>
      <c r="AU14" s="85">
        <v>0</v>
      </c>
      <c r="AV14" s="63">
        <v>0</v>
      </c>
      <c r="AW14" s="63">
        <v>0</v>
      </c>
      <c r="AX14" s="63">
        <v>0</v>
      </c>
      <c r="AY14" s="63">
        <v>0</v>
      </c>
      <c r="AZ14" s="63">
        <v>0</v>
      </c>
      <c r="BA14" s="63">
        <v>0</v>
      </c>
      <c r="BB14" s="63">
        <v>0</v>
      </c>
      <c r="BC14" s="63">
        <v>0</v>
      </c>
      <c r="BD14" s="63">
        <v>0</v>
      </c>
      <c r="BE14" s="63">
        <v>0</v>
      </c>
      <c r="BF14" s="63">
        <v>0</v>
      </c>
      <c r="BG14" s="63">
        <v>0</v>
      </c>
      <c r="BH14" s="63">
        <v>0</v>
      </c>
      <c r="BJ14" s="40">
        <v>39345</v>
      </c>
      <c r="BK14" s="43">
        <f t="shared" si="13"/>
        <v>0</v>
      </c>
      <c r="BL14" s="43">
        <f t="shared" si="14"/>
        <v>0</v>
      </c>
      <c r="BM14" s="43">
        <f t="shared" si="15"/>
        <v>0</v>
      </c>
      <c r="BN14" s="43">
        <f t="shared" si="16"/>
        <v>0</v>
      </c>
      <c r="BO14" s="43">
        <f t="shared" si="17"/>
        <v>0</v>
      </c>
      <c r="BP14" s="43">
        <f t="shared" si="18"/>
        <v>0</v>
      </c>
      <c r="BQ14" s="43">
        <f t="shared" si="19"/>
        <v>0</v>
      </c>
      <c r="BR14" s="43">
        <f t="shared" si="20"/>
        <v>0</v>
      </c>
      <c r="BS14" s="43">
        <f t="shared" si="21"/>
        <v>0</v>
      </c>
      <c r="BT14" s="43">
        <f t="shared" si="22"/>
        <v>0</v>
      </c>
      <c r="BU14" s="43">
        <f t="shared" si="23"/>
        <v>0</v>
      </c>
      <c r="BV14" s="43">
        <f t="shared" si="24"/>
        <v>0</v>
      </c>
      <c r="BW14" s="43">
        <f t="shared" si="25"/>
        <v>0</v>
      </c>
      <c r="BX14" s="43">
        <f t="shared" si="26"/>
        <v>0</v>
      </c>
      <c r="BY14" s="43">
        <f t="shared" si="27"/>
        <v>0</v>
      </c>
      <c r="BZ14" s="43">
        <f t="shared" si="28"/>
        <v>0</v>
      </c>
      <c r="CA14" s="40">
        <v>39345</v>
      </c>
      <c r="CB14" s="43">
        <f t="shared" si="29"/>
        <v>0</v>
      </c>
      <c r="CC14" s="43">
        <f t="shared" si="30"/>
        <v>0</v>
      </c>
      <c r="CD14" s="43">
        <f t="shared" si="31"/>
        <v>0</v>
      </c>
      <c r="CE14" s="43">
        <f t="shared" si="32"/>
        <v>0</v>
      </c>
      <c r="CF14" s="43">
        <f t="shared" si="33"/>
        <v>0</v>
      </c>
      <c r="CG14" s="43">
        <f t="shared" si="34"/>
        <v>0</v>
      </c>
      <c r="CH14" s="43">
        <f t="shared" si="35"/>
        <v>0</v>
      </c>
      <c r="CI14" s="43">
        <f t="shared" si="36"/>
        <v>0</v>
      </c>
      <c r="CJ14" s="43">
        <f t="shared" si="37"/>
        <v>0</v>
      </c>
      <c r="CK14" s="43">
        <f t="shared" si="38"/>
        <v>0</v>
      </c>
      <c r="CL14" s="43">
        <f t="shared" si="39"/>
        <v>0</v>
      </c>
      <c r="CM14" s="43">
        <f t="shared" si="40"/>
        <v>0</v>
      </c>
      <c r="CN14" s="43">
        <f t="shared" si="41"/>
        <v>0</v>
      </c>
      <c r="CO14" s="43">
        <f t="shared" si="42"/>
        <v>0</v>
      </c>
      <c r="CP14" s="43">
        <f t="shared" si="43"/>
        <v>0</v>
      </c>
      <c r="CQ14" s="43">
        <f t="shared" si="44"/>
        <v>0</v>
      </c>
      <c r="CR14" s="64">
        <f t="shared" si="45"/>
        <v>0</v>
      </c>
      <c r="CT14" s="40">
        <v>39345</v>
      </c>
      <c r="CU14" s="71">
        <f>+CU$3-SUM(AS$4:AS14)</f>
        <v>888847544.75999999</v>
      </c>
      <c r="CV14" s="71">
        <f>+CV$3-SUM(AT$4:AT14)</f>
        <v>212855596.25</v>
      </c>
      <c r="CW14" s="71">
        <f>+CW$3-SUM(AU$4:AU14)</f>
        <v>285366843.31999999</v>
      </c>
      <c r="CX14" s="71">
        <f>+CX$3-SUM(AV$4:AV14)</f>
        <v>2596000000</v>
      </c>
      <c r="CY14" s="71">
        <f>+CY$3-SUM(AW$4:AW14)</f>
        <v>1698999999.9999998</v>
      </c>
      <c r="CZ14" s="71">
        <f>+CZ$3-SUM(AX$4:AX14)</f>
        <v>1038500000</v>
      </c>
      <c r="DA14" s="71">
        <f>+DA$3-SUM(AY$4:AY14)</f>
        <v>500000000</v>
      </c>
      <c r="DB14" s="71">
        <f>+DB$3-SUM(AZ$4:AZ14)</f>
        <v>84500000</v>
      </c>
      <c r="DC14" s="71">
        <f>+DC$3-SUM(BA$4:BA14)</f>
        <v>167000000</v>
      </c>
      <c r="DD14" s="71">
        <f>+DD$3-SUM(BB$4:BB14)</f>
        <v>23000000</v>
      </c>
      <c r="DE14" s="71">
        <f>+DE$3-SUM(BC$4:BC14)</f>
        <v>74500000</v>
      </c>
      <c r="DF14" s="71">
        <f>+DF$3-SUM(BD$4:BD14)</f>
        <v>91000000</v>
      </c>
      <c r="DG14" s="71">
        <f>+DG$3-SUM(BE$4:BE14)</f>
        <v>56000000</v>
      </c>
      <c r="DH14" s="71">
        <f>+DH$3-SUM(BF$4:BF14)</f>
        <v>70000000</v>
      </c>
      <c r="DI14" s="71">
        <f>+DI$3-SUM(BG$4:BG14)</f>
        <v>211000000.00000003</v>
      </c>
      <c r="DJ14" s="71">
        <f>+DJ$3-SUM(BH$4:BH14)</f>
        <v>20000000</v>
      </c>
    </row>
    <row r="15" spans="1:114">
      <c r="A15" s="75">
        <v>39375</v>
      </c>
      <c r="B15" s="76">
        <f t="shared" si="3"/>
        <v>888847544.75598001</v>
      </c>
      <c r="C15" s="76">
        <f t="shared" ref="C15:Q15" si="56">+C102</f>
        <v>212855596.24419522</v>
      </c>
      <c r="D15" s="76">
        <f t="shared" si="56"/>
        <v>285366843.31639361</v>
      </c>
      <c r="E15" s="76">
        <f t="shared" si="56"/>
        <v>2596000000</v>
      </c>
      <c r="F15" s="76">
        <f t="shared" si="56"/>
        <v>1698999999.9999998</v>
      </c>
      <c r="G15" s="76">
        <f t="shared" si="56"/>
        <v>1038500000</v>
      </c>
      <c r="H15" s="76">
        <f t="shared" si="56"/>
        <v>500000000</v>
      </c>
      <c r="I15" s="76">
        <f t="shared" si="56"/>
        <v>84500000</v>
      </c>
      <c r="J15" s="76">
        <f t="shared" si="56"/>
        <v>167000000</v>
      </c>
      <c r="K15" s="76">
        <f t="shared" si="56"/>
        <v>23000000</v>
      </c>
      <c r="L15" s="76">
        <f t="shared" si="56"/>
        <v>74500000</v>
      </c>
      <c r="M15" s="76">
        <f t="shared" si="56"/>
        <v>91000000</v>
      </c>
      <c r="N15" s="76">
        <f t="shared" si="56"/>
        <v>56000000</v>
      </c>
      <c r="O15" s="76">
        <f t="shared" si="56"/>
        <v>70000000</v>
      </c>
      <c r="P15" s="76">
        <f t="shared" si="56"/>
        <v>211000000.00000003</v>
      </c>
      <c r="Q15" s="76">
        <f t="shared" si="56"/>
        <v>20000000</v>
      </c>
      <c r="S15" s="40">
        <v>39375</v>
      </c>
      <c r="T15" s="82">
        <f t="shared" si="47"/>
        <v>0</v>
      </c>
      <c r="U15" s="82">
        <f t="shared" si="7"/>
        <v>0</v>
      </c>
      <c r="V15" s="82">
        <f t="shared" si="7"/>
        <v>0</v>
      </c>
      <c r="W15" s="82">
        <f t="shared" si="7"/>
        <v>0</v>
      </c>
      <c r="X15" s="82">
        <f t="shared" si="7"/>
        <v>0</v>
      </c>
      <c r="Y15" s="82">
        <f t="shared" si="7"/>
        <v>0</v>
      </c>
      <c r="Z15" s="82">
        <f t="shared" si="7"/>
        <v>0</v>
      </c>
      <c r="AA15" s="82">
        <f t="shared" si="7"/>
        <v>0</v>
      </c>
      <c r="AB15" s="82">
        <f t="shared" si="7"/>
        <v>0</v>
      </c>
      <c r="AC15" s="82">
        <f t="shared" si="7"/>
        <v>0</v>
      </c>
      <c r="AD15" s="82">
        <f t="shared" si="7"/>
        <v>0</v>
      </c>
      <c r="AE15" s="82">
        <f t="shared" si="7"/>
        <v>0</v>
      </c>
      <c r="AF15" s="82">
        <f t="shared" si="7"/>
        <v>0</v>
      </c>
      <c r="AG15" s="82">
        <f t="shared" si="7"/>
        <v>0</v>
      </c>
      <c r="AH15" s="82">
        <f t="shared" si="7"/>
        <v>0</v>
      </c>
      <c r="AI15" s="82">
        <f t="shared" si="7"/>
        <v>0</v>
      </c>
      <c r="AJ15" s="40">
        <v>39375</v>
      </c>
      <c r="AK15" s="187">
        <f t="shared" si="8"/>
        <v>7220569984.3165684</v>
      </c>
      <c r="AL15" s="43">
        <f t="shared" si="9"/>
        <v>6416222439.5605888</v>
      </c>
      <c r="AM15" s="43">
        <f t="shared" si="10"/>
        <v>6370366843.3163939</v>
      </c>
      <c r="AN15" s="43">
        <f t="shared" si="11"/>
        <v>6108000000</v>
      </c>
      <c r="AO15" s="43">
        <f t="shared" si="12"/>
        <v>26115159267.19355</v>
      </c>
      <c r="AR15" s="40">
        <v>39375</v>
      </c>
      <c r="AS15" s="85">
        <v>0</v>
      </c>
      <c r="AT15" s="85">
        <v>0</v>
      </c>
      <c r="AU15" s="85">
        <v>0</v>
      </c>
      <c r="AV15" s="63">
        <v>0</v>
      </c>
      <c r="AW15" s="63">
        <v>0</v>
      </c>
      <c r="AX15" s="63">
        <v>0</v>
      </c>
      <c r="AY15" s="63">
        <v>0</v>
      </c>
      <c r="AZ15" s="63">
        <v>0</v>
      </c>
      <c r="BA15" s="63">
        <v>0</v>
      </c>
      <c r="BB15" s="63">
        <v>0</v>
      </c>
      <c r="BC15" s="63">
        <v>0</v>
      </c>
      <c r="BD15" s="63">
        <v>0</v>
      </c>
      <c r="BE15" s="63">
        <v>0</v>
      </c>
      <c r="BF15" s="63">
        <v>0</v>
      </c>
      <c r="BG15" s="63">
        <v>0</v>
      </c>
      <c r="BH15" s="63">
        <v>0</v>
      </c>
      <c r="BJ15" s="40">
        <v>39375</v>
      </c>
      <c r="BK15" s="43">
        <f t="shared" si="13"/>
        <v>0</v>
      </c>
      <c r="BL15" s="43">
        <f t="shared" si="14"/>
        <v>0</v>
      </c>
      <c r="BM15" s="43">
        <f t="shared" si="15"/>
        <v>0</v>
      </c>
      <c r="BN15" s="43">
        <f t="shared" si="16"/>
        <v>0</v>
      </c>
      <c r="BO15" s="43">
        <f t="shared" si="17"/>
        <v>0</v>
      </c>
      <c r="BP15" s="43">
        <f t="shared" si="18"/>
        <v>0</v>
      </c>
      <c r="BQ15" s="43">
        <f t="shared" si="19"/>
        <v>0</v>
      </c>
      <c r="BR15" s="43">
        <f t="shared" si="20"/>
        <v>0</v>
      </c>
      <c r="BS15" s="43">
        <f t="shared" si="21"/>
        <v>0</v>
      </c>
      <c r="BT15" s="43">
        <f t="shared" si="22"/>
        <v>0</v>
      </c>
      <c r="BU15" s="43">
        <f t="shared" si="23"/>
        <v>0</v>
      </c>
      <c r="BV15" s="43">
        <f t="shared" si="24"/>
        <v>0</v>
      </c>
      <c r="BW15" s="43">
        <f t="shared" si="25"/>
        <v>0</v>
      </c>
      <c r="BX15" s="43">
        <f t="shared" si="26"/>
        <v>0</v>
      </c>
      <c r="BY15" s="43">
        <f t="shared" si="27"/>
        <v>0</v>
      </c>
      <c r="BZ15" s="43">
        <f t="shared" si="28"/>
        <v>0</v>
      </c>
      <c r="CA15" s="40">
        <v>39375</v>
      </c>
      <c r="CB15" s="43">
        <f t="shared" si="29"/>
        <v>0</v>
      </c>
      <c r="CC15" s="43">
        <f t="shared" si="30"/>
        <v>0</v>
      </c>
      <c r="CD15" s="43">
        <f t="shared" si="31"/>
        <v>0</v>
      </c>
      <c r="CE15" s="43">
        <f t="shared" si="32"/>
        <v>0</v>
      </c>
      <c r="CF15" s="43">
        <f t="shared" si="33"/>
        <v>0</v>
      </c>
      <c r="CG15" s="43">
        <f t="shared" si="34"/>
        <v>0</v>
      </c>
      <c r="CH15" s="43">
        <f t="shared" si="35"/>
        <v>0</v>
      </c>
      <c r="CI15" s="43">
        <f t="shared" si="36"/>
        <v>0</v>
      </c>
      <c r="CJ15" s="43">
        <f t="shared" si="37"/>
        <v>0</v>
      </c>
      <c r="CK15" s="43">
        <f t="shared" si="38"/>
        <v>0</v>
      </c>
      <c r="CL15" s="43">
        <f t="shared" si="39"/>
        <v>0</v>
      </c>
      <c r="CM15" s="43">
        <f t="shared" si="40"/>
        <v>0</v>
      </c>
      <c r="CN15" s="43">
        <f t="shared" si="41"/>
        <v>0</v>
      </c>
      <c r="CO15" s="43">
        <f t="shared" si="42"/>
        <v>0</v>
      </c>
      <c r="CP15" s="43">
        <f t="shared" si="43"/>
        <v>0</v>
      </c>
      <c r="CQ15" s="43">
        <f t="shared" si="44"/>
        <v>0</v>
      </c>
      <c r="CR15" s="64">
        <f t="shared" si="45"/>
        <v>0</v>
      </c>
      <c r="CT15" s="40">
        <v>39375</v>
      </c>
      <c r="CU15" s="71">
        <f>+CU$3-SUM(AS$4:AS15)</f>
        <v>888847544.75999999</v>
      </c>
      <c r="CV15" s="71">
        <f>+CV$3-SUM(AT$4:AT15)</f>
        <v>212855596.25</v>
      </c>
      <c r="CW15" s="71">
        <f>+CW$3-SUM(AU$4:AU15)</f>
        <v>285366843.31999999</v>
      </c>
      <c r="CX15" s="71">
        <f>+CX$3-SUM(AV$4:AV15)</f>
        <v>2596000000</v>
      </c>
      <c r="CY15" s="71">
        <f>+CY$3-SUM(AW$4:AW15)</f>
        <v>1698999999.9999998</v>
      </c>
      <c r="CZ15" s="71">
        <f>+CZ$3-SUM(AX$4:AX15)</f>
        <v>1038500000</v>
      </c>
      <c r="DA15" s="71">
        <f>+DA$3-SUM(AY$4:AY15)</f>
        <v>500000000</v>
      </c>
      <c r="DB15" s="71">
        <f>+DB$3-SUM(AZ$4:AZ15)</f>
        <v>84500000</v>
      </c>
      <c r="DC15" s="71">
        <f>+DC$3-SUM(BA$4:BA15)</f>
        <v>167000000</v>
      </c>
      <c r="DD15" s="71">
        <f>+DD$3-SUM(BB$4:BB15)</f>
        <v>23000000</v>
      </c>
      <c r="DE15" s="71">
        <f>+DE$3-SUM(BC$4:BC15)</f>
        <v>74500000</v>
      </c>
      <c r="DF15" s="71">
        <f>+DF$3-SUM(BD$4:BD15)</f>
        <v>91000000</v>
      </c>
      <c r="DG15" s="71">
        <f>+DG$3-SUM(BE$4:BE15)</f>
        <v>56000000</v>
      </c>
      <c r="DH15" s="71">
        <f>+DH$3-SUM(BF$4:BF15)</f>
        <v>70000000</v>
      </c>
      <c r="DI15" s="71">
        <f>+DI$3-SUM(BG$4:BG15)</f>
        <v>211000000.00000003</v>
      </c>
      <c r="DJ15" s="71">
        <f>+DJ$3-SUM(BH$4:BH15)</f>
        <v>20000000</v>
      </c>
    </row>
    <row r="16" spans="1:114">
      <c r="A16" s="75">
        <v>39406</v>
      </c>
      <c r="B16" s="76">
        <f t="shared" si="3"/>
        <v>620389918.1687386</v>
      </c>
      <c r="C16" s="76">
        <f t="shared" ref="C16:Q16" si="57">+C103</f>
        <v>148567059.35093474</v>
      </c>
      <c r="D16" s="76">
        <f t="shared" si="57"/>
        <v>199177815.83312136</v>
      </c>
      <c r="E16" s="76">
        <f t="shared" si="57"/>
        <v>2596000000</v>
      </c>
      <c r="F16" s="76">
        <f t="shared" si="57"/>
        <v>1698999999.9999998</v>
      </c>
      <c r="G16" s="76">
        <f t="shared" si="57"/>
        <v>1038500000</v>
      </c>
      <c r="H16" s="76">
        <f t="shared" si="57"/>
        <v>500000000</v>
      </c>
      <c r="I16" s="76">
        <f t="shared" si="57"/>
        <v>84500000</v>
      </c>
      <c r="J16" s="76">
        <f t="shared" si="57"/>
        <v>167000000</v>
      </c>
      <c r="K16" s="76">
        <f t="shared" si="57"/>
        <v>23000000</v>
      </c>
      <c r="L16" s="76">
        <f t="shared" si="57"/>
        <v>74500000</v>
      </c>
      <c r="M16" s="76">
        <f t="shared" si="57"/>
        <v>91000000</v>
      </c>
      <c r="N16" s="76">
        <f t="shared" si="57"/>
        <v>56000000</v>
      </c>
      <c r="O16" s="76">
        <f t="shared" si="57"/>
        <v>70000000</v>
      </c>
      <c r="P16" s="76">
        <f t="shared" si="57"/>
        <v>211000000.00000003</v>
      </c>
      <c r="Q16" s="76">
        <f t="shared" si="57"/>
        <v>20000000</v>
      </c>
      <c r="S16" s="40">
        <v>39406</v>
      </c>
      <c r="T16" s="82">
        <f t="shared" si="47"/>
        <v>268457626.58999997</v>
      </c>
      <c r="U16" s="82">
        <f t="shared" si="7"/>
        <v>64288536.890000001</v>
      </c>
      <c r="V16" s="82">
        <f t="shared" si="7"/>
        <v>86189027.480000004</v>
      </c>
      <c r="W16" s="82">
        <f t="shared" si="7"/>
        <v>0</v>
      </c>
      <c r="X16" s="82">
        <f t="shared" si="7"/>
        <v>0</v>
      </c>
      <c r="Y16" s="82">
        <f t="shared" si="7"/>
        <v>0</v>
      </c>
      <c r="Z16" s="82">
        <f t="shared" si="7"/>
        <v>0</v>
      </c>
      <c r="AA16" s="82">
        <f t="shared" si="7"/>
        <v>0</v>
      </c>
      <c r="AB16" s="82">
        <f t="shared" si="7"/>
        <v>0</v>
      </c>
      <c r="AC16" s="82">
        <f t="shared" si="7"/>
        <v>0</v>
      </c>
      <c r="AD16" s="82">
        <f t="shared" si="7"/>
        <v>0</v>
      </c>
      <c r="AE16" s="82">
        <f t="shared" si="7"/>
        <v>0</v>
      </c>
      <c r="AF16" s="82">
        <f t="shared" si="7"/>
        <v>0</v>
      </c>
      <c r="AG16" s="82">
        <f t="shared" si="7"/>
        <v>0</v>
      </c>
      <c r="AH16" s="82">
        <f t="shared" si="7"/>
        <v>0</v>
      </c>
      <c r="AI16" s="82">
        <f t="shared" si="7"/>
        <v>0</v>
      </c>
      <c r="AJ16" s="40">
        <v>39406</v>
      </c>
      <c r="AK16" s="187">
        <f t="shared" si="8"/>
        <v>6801634793.3527946</v>
      </c>
      <c r="AL16" s="43">
        <f t="shared" si="9"/>
        <v>6265744875.1840563</v>
      </c>
      <c r="AM16" s="43">
        <f t="shared" si="10"/>
        <v>6284177815.8331213</v>
      </c>
      <c r="AN16" s="43">
        <f t="shared" si="11"/>
        <v>6108000000</v>
      </c>
      <c r="AO16" s="43">
        <f t="shared" si="12"/>
        <v>25459557484.369972</v>
      </c>
      <c r="AR16" s="40">
        <v>39406</v>
      </c>
      <c r="AS16" s="85">
        <v>268457626.58999997</v>
      </c>
      <c r="AT16" s="85">
        <v>64288536.890000001</v>
      </c>
      <c r="AU16" s="85">
        <v>86189027.480000004</v>
      </c>
      <c r="AV16" s="63">
        <v>0</v>
      </c>
      <c r="AW16" s="63">
        <v>0</v>
      </c>
      <c r="AX16" s="63">
        <v>0</v>
      </c>
      <c r="AY16" s="63">
        <v>0</v>
      </c>
      <c r="AZ16" s="63">
        <v>0</v>
      </c>
      <c r="BA16" s="63">
        <v>0</v>
      </c>
      <c r="BB16" s="63">
        <v>0</v>
      </c>
      <c r="BC16" s="63">
        <v>0</v>
      </c>
      <c r="BD16" s="63">
        <v>0</v>
      </c>
      <c r="BE16" s="63">
        <v>0</v>
      </c>
      <c r="BF16" s="63">
        <v>0</v>
      </c>
      <c r="BG16" s="63">
        <v>0</v>
      </c>
      <c r="BH16" s="63">
        <v>0</v>
      </c>
      <c r="BJ16" s="40">
        <v>39406</v>
      </c>
      <c r="BK16" s="43">
        <f t="shared" si="13"/>
        <v>0</v>
      </c>
      <c r="BL16" s="43">
        <f t="shared" si="14"/>
        <v>0</v>
      </c>
      <c r="BM16" s="43">
        <f t="shared" si="15"/>
        <v>0</v>
      </c>
      <c r="BN16" s="43">
        <f t="shared" si="16"/>
        <v>0</v>
      </c>
      <c r="BO16" s="43">
        <f t="shared" si="17"/>
        <v>0</v>
      </c>
      <c r="BP16" s="43">
        <f t="shared" si="18"/>
        <v>0</v>
      </c>
      <c r="BQ16" s="43">
        <f t="shared" si="19"/>
        <v>0</v>
      </c>
      <c r="BR16" s="43">
        <f t="shared" si="20"/>
        <v>0</v>
      </c>
      <c r="BS16" s="43">
        <f t="shared" si="21"/>
        <v>0</v>
      </c>
      <c r="BT16" s="43">
        <f t="shared" si="22"/>
        <v>0</v>
      </c>
      <c r="BU16" s="43">
        <f t="shared" si="23"/>
        <v>0</v>
      </c>
      <c r="BV16" s="43">
        <f t="shared" si="24"/>
        <v>0</v>
      </c>
      <c r="BW16" s="43">
        <f t="shared" si="25"/>
        <v>0</v>
      </c>
      <c r="BX16" s="43">
        <f t="shared" si="26"/>
        <v>0</v>
      </c>
      <c r="BY16" s="43">
        <f t="shared" si="27"/>
        <v>0</v>
      </c>
      <c r="BZ16" s="43">
        <f t="shared" si="28"/>
        <v>0</v>
      </c>
      <c r="CA16" s="40">
        <v>39406</v>
      </c>
      <c r="CB16" s="43">
        <f t="shared" si="29"/>
        <v>0</v>
      </c>
      <c r="CC16" s="43">
        <f t="shared" si="30"/>
        <v>0</v>
      </c>
      <c r="CD16" s="43">
        <f t="shared" si="31"/>
        <v>0</v>
      </c>
      <c r="CE16" s="43">
        <f t="shared" si="32"/>
        <v>0</v>
      </c>
      <c r="CF16" s="43">
        <f t="shared" si="33"/>
        <v>0</v>
      </c>
      <c r="CG16" s="43">
        <f t="shared" si="34"/>
        <v>0</v>
      </c>
      <c r="CH16" s="43">
        <f t="shared" si="35"/>
        <v>0</v>
      </c>
      <c r="CI16" s="43">
        <f t="shared" si="36"/>
        <v>0</v>
      </c>
      <c r="CJ16" s="43">
        <f t="shared" si="37"/>
        <v>0</v>
      </c>
      <c r="CK16" s="43">
        <f t="shared" si="38"/>
        <v>0</v>
      </c>
      <c r="CL16" s="43">
        <f t="shared" si="39"/>
        <v>0</v>
      </c>
      <c r="CM16" s="43">
        <f t="shared" si="40"/>
        <v>0</v>
      </c>
      <c r="CN16" s="43">
        <f t="shared" si="41"/>
        <v>0</v>
      </c>
      <c r="CO16" s="43">
        <f t="shared" si="42"/>
        <v>0</v>
      </c>
      <c r="CP16" s="43">
        <f t="shared" si="43"/>
        <v>0</v>
      </c>
      <c r="CQ16" s="43">
        <f t="shared" si="44"/>
        <v>0</v>
      </c>
      <c r="CR16" s="64">
        <f t="shared" si="45"/>
        <v>0</v>
      </c>
      <c r="CT16" s="40">
        <v>39406</v>
      </c>
      <c r="CU16" s="71">
        <f>+CU$3-SUM(AS$4:AS16)</f>
        <v>620389918.17000008</v>
      </c>
      <c r="CV16" s="71">
        <f>+CV$3-SUM(AT$4:AT16)</f>
        <v>148567059.36000001</v>
      </c>
      <c r="CW16" s="71">
        <f>+CW$3-SUM(AU$4:AU16)</f>
        <v>199177815.83999997</v>
      </c>
      <c r="CX16" s="71">
        <f>+CX$3-SUM(AV$4:AV16)</f>
        <v>2596000000</v>
      </c>
      <c r="CY16" s="71">
        <f>+CY$3-SUM(AW$4:AW16)</f>
        <v>1698999999.9999998</v>
      </c>
      <c r="CZ16" s="71">
        <f>+CZ$3-SUM(AX$4:AX16)</f>
        <v>1038500000</v>
      </c>
      <c r="DA16" s="71">
        <f>+DA$3-SUM(AY$4:AY16)</f>
        <v>500000000</v>
      </c>
      <c r="DB16" s="71">
        <f>+DB$3-SUM(AZ$4:AZ16)</f>
        <v>84500000</v>
      </c>
      <c r="DC16" s="71">
        <f>+DC$3-SUM(BA$4:BA16)</f>
        <v>167000000</v>
      </c>
      <c r="DD16" s="71">
        <f>+DD$3-SUM(BB$4:BB16)</f>
        <v>23000000</v>
      </c>
      <c r="DE16" s="71">
        <f>+DE$3-SUM(BC$4:BC16)</f>
        <v>74500000</v>
      </c>
      <c r="DF16" s="71">
        <f>+DF$3-SUM(BD$4:BD16)</f>
        <v>91000000</v>
      </c>
      <c r="DG16" s="71">
        <f>+DG$3-SUM(BE$4:BE16)</f>
        <v>56000000</v>
      </c>
      <c r="DH16" s="71">
        <f>+DH$3-SUM(BF$4:BF16)</f>
        <v>70000000</v>
      </c>
      <c r="DI16" s="71">
        <f>+DI$3-SUM(BG$4:BG16)</f>
        <v>211000000.00000003</v>
      </c>
      <c r="DJ16" s="71">
        <f>+DJ$3-SUM(BH$4:BH16)</f>
        <v>20000000</v>
      </c>
    </row>
    <row r="17" spans="1:114">
      <c r="A17" s="75">
        <v>39436</v>
      </c>
      <c r="B17" s="76">
        <f t="shared" si="3"/>
        <v>620389918.1687386</v>
      </c>
      <c r="C17" s="76">
        <f t="shared" ref="C17:M17" si="58">+C104</f>
        <v>148567059.35093474</v>
      </c>
      <c r="D17" s="76">
        <f t="shared" si="58"/>
        <v>199177815.83312136</v>
      </c>
      <c r="E17" s="76">
        <f t="shared" si="58"/>
        <v>2596000000</v>
      </c>
      <c r="F17" s="76">
        <f t="shared" si="58"/>
        <v>1698999999.9999998</v>
      </c>
      <c r="G17" s="76">
        <f t="shared" si="58"/>
        <v>1038500000</v>
      </c>
      <c r="H17" s="76">
        <f t="shared" si="58"/>
        <v>500000000</v>
      </c>
      <c r="I17" s="76">
        <f t="shared" si="58"/>
        <v>84500000</v>
      </c>
      <c r="J17" s="76">
        <f t="shared" si="58"/>
        <v>167000000</v>
      </c>
      <c r="K17" s="76">
        <f t="shared" si="58"/>
        <v>23000000</v>
      </c>
      <c r="L17" s="76">
        <f t="shared" si="58"/>
        <v>74500000</v>
      </c>
      <c r="M17" s="76">
        <f t="shared" si="58"/>
        <v>91000000</v>
      </c>
      <c r="N17" s="76">
        <f t="shared" ref="C17:Q32" si="59">+N104</f>
        <v>56000000</v>
      </c>
      <c r="O17" s="76">
        <f t="shared" si="59"/>
        <v>70000000</v>
      </c>
      <c r="P17" s="76">
        <f t="shared" si="59"/>
        <v>211000000.00000003</v>
      </c>
      <c r="Q17" s="76">
        <f t="shared" si="59"/>
        <v>20000000</v>
      </c>
      <c r="S17" s="40">
        <v>39436</v>
      </c>
      <c r="T17" s="82">
        <f t="shared" si="47"/>
        <v>0</v>
      </c>
      <c r="U17" s="82">
        <f t="shared" si="7"/>
        <v>0</v>
      </c>
      <c r="V17" s="82">
        <f t="shared" si="7"/>
        <v>0</v>
      </c>
      <c r="W17" s="82">
        <f t="shared" si="7"/>
        <v>0</v>
      </c>
      <c r="X17" s="82">
        <f t="shared" si="7"/>
        <v>0</v>
      </c>
      <c r="Y17" s="82">
        <f t="shared" si="7"/>
        <v>0</v>
      </c>
      <c r="Z17" s="82">
        <f t="shared" si="7"/>
        <v>0</v>
      </c>
      <c r="AA17" s="82">
        <f t="shared" si="7"/>
        <v>0</v>
      </c>
      <c r="AB17" s="82">
        <f t="shared" si="7"/>
        <v>0</v>
      </c>
      <c r="AC17" s="82">
        <f t="shared" si="7"/>
        <v>0</v>
      </c>
      <c r="AD17" s="82">
        <f t="shared" si="7"/>
        <v>0</v>
      </c>
      <c r="AE17" s="82">
        <f t="shared" si="7"/>
        <v>0</v>
      </c>
      <c r="AF17" s="82">
        <f t="shared" si="7"/>
        <v>0</v>
      </c>
      <c r="AG17" s="82">
        <f t="shared" si="7"/>
        <v>0</v>
      </c>
      <c r="AH17" s="82">
        <f t="shared" si="7"/>
        <v>0</v>
      </c>
      <c r="AI17" s="82">
        <f t="shared" si="7"/>
        <v>0</v>
      </c>
      <c r="AJ17" s="40">
        <v>39436</v>
      </c>
      <c r="AK17" s="187">
        <f t="shared" si="8"/>
        <v>6801634793.3527946</v>
      </c>
      <c r="AL17" s="43">
        <f t="shared" si="9"/>
        <v>6265744875.1840563</v>
      </c>
      <c r="AM17" s="43">
        <f t="shared" si="10"/>
        <v>6284177815.8331213</v>
      </c>
      <c r="AN17" s="43">
        <f t="shared" si="11"/>
        <v>6108000000</v>
      </c>
      <c r="AO17" s="43">
        <f t="shared" si="12"/>
        <v>25459557484.369972</v>
      </c>
      <c r="AR17" s="40">
        <v>39436</v>
      </c>
      <c r="AS17" s="85">
        <v>0</v>
      </c>
      <c r="AT17" s="85">
        <v>0</v>
      </c>
      <c r="AU17" s="85">
        <v>0</v>
      </c>
      <c r="AV17" s="63">
        <v>0</v>
      </c>
      <c r="AW17" s="63">
        <v>0</v>
      </c>
      <c r="AX17" s="63">
        <v>0</v>
      </c>
      <c r="AY17" s="63">
        <v>0</v>
      </c>
      <c r="AZ17" s="63">
        <v>0</v>
      </c>
      <c r="BA17" s="63">
        <v>0</v>
      </c>
      <c r="BB17" s="63">
        <v>0</v>
      </c>
      <c r="BC17" s="63">
        <v>0</v>
      </c>
      <c r="BD17" s="63">
        <v>0</v>
      </c>
      <c r="BE17" s="63">
        <v>0</v>
      </c>
      <c r="BF17" s="63">
        <v>0</v>
      </c>
      <c r="BG17" s="63">
        <v>0</v>
      </c>
      <c r="BH17" s="63">
        <v>0</v>
      </c>
      <c r="BJ17" s="40">
        <v>39436</v>
      </c>
      <c r="BK17" s="43">
        <f t="shared" si="13"/>
        <v>0</v>
      </c>
      <c r="BL17" s="43">
        <f t="shared" si="14"/>
        <v>0</v>
      </c>
      <c r="BM17" s="43">
        <f t="shared" si="15"/>
        <v>0</v>
      </c>
      <c r="BN17" s="43">
        <f t="shared" si="16"/>
        <v>0</v>
      </c>
      <c r="BO17" s="43">
        <f t="shared" si="17"/>
        <v>0</v>
      </c>
      <c r="BP17" s="43">
        <f t="shared" si="18"/>
        <v>0</v>
      </c>
      <c r="BQ17" s="43">
        <f t="shared" si="19"/>
        <v>0</v>
      </c>
      <c r="BR17" s="43">
        <f t="shared" si="20"/>
        <v>0</v>
      </c>
      <c r="BS17" s="43">
        <f t="shared" si="21"/>
        <v>0</v>
      </c>
      <c r="BT17" s="43">
        <f t="shared" si="22"/>
        <v>0</v>
      </c>
      <c r="BU17" s="43">
        <f t="shared" si="23"/>
        <v>0</v>
      </c>
      <c r="BV17" s="43">
        <f t="shared" si="24"/>
        <v>0</v>
      </c>
      <c r="BW17" s="43">
        <f t="shared" si="25"/>
        <v>0</v>
      </c>
      <c r="BX17" s="43">
        <f t="shared" si="26"/>
        <v>0</v>
      </c>
      <c r="BY17" s="43">
        <f t="shared" si="27"/>
        <v>0</v>
      </c>
      <c r="BZ17" s="43">
        <f t="shared" si="28"/>
        <v>0</v>
      </c>
      <c r="CA17" s="40">
        <v>39436</v>
      </c>
      <c r="CB17" s="43">
        <f t="shared" si="29"/>
        <v>0</v>
      </c>
      <c r="CC17" s="43">
        <f t="shared" si="30"/>
        <v>0</v>
      </c>
      <c r="CD17" s="43">
        <f t="shared" si="31"/>
        <v>0</v>
      </c>
      <c r="CE17" s="43">
        <f t="shared" si="32"/>
        <v>0</v>
      </c>
      <c r="CF17" s="43">
        <f t="shared" si="33"/>
        <v>0</v>
      </c>
      <c r="CG17" s="43">
        <f t="shared" si="34"/>
        <v>0</v>
      </c>
      <c r="CH17" s="43">
        <f t="shared" si="35"/>
        <v>0</v>
      </c>
      <c r="CI17" s="43">
        <f t="shared" si="36"/>
        <v>0</v>
      </c>
      <c r="CJ17" s="43">
        <f t="shared" si="37"/>
        <v>0</v>
      </c>
      <c r="CK17" s="43">
        <f t="shared" si="38"/>
        <v>0</v>
      </c>
      <c r="CL17" s="43">
        <f t="shared" si="39"/>
        <v>0</v>
      </c>
      <c r="CM17" s="43">
        <f t="shared" si="40"/>
        <v>0</v>
      </c>
      <c r="CN17" s="43">
        <f t="shared" si="41"/>
        <v>0</v>
      </c>
      <c r="CO17" s="43">
        <f t="shared" si="42"/>
        <v>0</v>
      </c>
      <c r="CP17" s="43">
        <f t="shared" si="43"/>
        <v>0</v>
      </c>
      <c r="CQ17" s="43">
        <f t="shared" si="44"/>
        <v>0</v>
      </c>
      <c r="CR17" s="64">
        <f t="shared" si="45"/>
        <v>0</v>
      </c>
      <c r="CT17" s="40">
        <v>39436</v>
      </c>
      <c r="CU17" s="71">
        <f>+CU$3-SUM(AS$4:AS17)</f>
        <v>620389918.17000008</v>
      </c>
      <c r="CV17" s="71">
        <f>+CV$3-SUM(AT$4:AT17)</f>
        <v>148567059.36000001</v>
      </c>
      <c r="CW17" s="71">
        <f>+CW$3-SUM(AU$4:AU17)</f>
        <v>199177815.83999997</v>
      </c>
      <c r="CX17" s="71">
        <f>+CX$3-SUM(AV$4:AV17)</f>
        <v>2596000000</v>
      </c>
      <c r="CY17" s="71">
        <f>+CY$3-SUM(AW$4:AW17)</f>
        <v>1698999999.9999998</v>
      </c>
      <c r="CZ17" s="71">
        <f>+CZ$3-SUM(AX$4:AX17)</f>
        <v>1038500000</v>
      </c>
      <c r="DA17" s="71">
        <f>+DA$3-SUM(AY$4:AY17)</f>
        <v>500000000</v>
      </c>
      <c r="DB17" s="71">
        <f>+DB$3-SUM(AZ$4:AZ17)</f>
        <v>84500000</v>
      </c>
      <c r="DC17" s="71">
        <f>+DC$3-SUM(BA$4:BA17)</f>
        <v>167000000</v>
      </c>
      <c r="DD17" s="71">
        <f>+DD$3-SUM(BB$4:BB17)</f>
        <v>23000000</v>
      </c>
      <c r="DE17" s="71">
        <f>+DE$3-SUM(BC$4:BC17)</f>
        <v>74500000</v>
      </c>
      <c r="DF17" s="71">
        <f>+DF$3-SUM(BD$4:BD17)</f>
        <v>91000000</v>
      </c>
      <c r="DG17" s="71">
        <f>+DG$3-SUM(BE$4:BE17)</f>
        <v>56000000</v>
      </c>
      <c r="DH17" s="71">
        <f>+DH$3-SUM(BF$4:BF17)</f>
        <v>70000000</v>
      </c>
      <c r="DI17" s="71">
        <f>+DI$3-SUM(BG$4:BG17)</f>
        <v>211000000.00000003</v>
      </c>
      <c r="DJ17" s="71">
        <f>+DJ$3-SUM(BH$4:BH17)</f>
        <v>20000000</v>
      </c>
    </row>
    <row r="18" spans="1:114">
      <c r="A18" s="75">
        <v>39467</v>
      </c>
      <c r="B18" s="76">
        <f t="shared" si="3"/>
        <v>620389918.1687386</v>
      </c>
      <c r="C18" s="76">
        <f t="shared" si="59"/>
        <v>148567059.35093474</v>
      </c>
      <c r="D18" s="76">
        <f t="shared" si="59"/>
        <v>199177815.83312136</v>
      </c>
      <c r="E18" s="76">
        <f t="shared" si="59"/>
        <v>2596000000</v>
      </c>
      <c r="F18" s="76">
        <f t="shared" si="59"/>
        <v>1698999999.9999998</v>
      </c>
      <c r="G18" s="76">
        <f t="shared" si="59"/>
        <v>1038500000</v>
      </c>
      <c r="H18" s="76">
        <f t="shared" si="59"/>
        <v>500000000</v>
      </c>
      <c r="I18" s="76">
        <f t="shared" si="59"/>
        <v>84500000</v>
      </c>
      <c r="J18" s="76">
        <f t="shared" si="59"/>
        <v>167000000</v>
      </c>
      <c r="K18" s="76">
        <f t="shared" si="59"/>
        <v>23000000</v>
      </c>
      <c r="L18" s="76">
        <f t="shared" si="59"/>
        <v>74500000</v>
      </c>
      <c r="M18" s="76">
        <f t="shared" si="59"/>
        <v>91000000</v>
      </c>
      <c r="N18" s="76">
        <f t="shared" si="59"/>
        <v>56000000</v>
      </c>
      <c r="O18" s="76">
        <f t="shared" si="59"/>
        <v>70000000</v>
      </c>
      <c r="P18" s="76">
        <f t="shared" si="59"/>
        <v>211000000.00000003</v>
      </c>
      <c r="Q18" s="76">
        <f t="shared" si="59"/>
        <v>20000000</v>
      </c>
      <c r="S18" s="40">
        <v>39467</v>
      </c>
      <c r="T18" s="82">
        <f t="shared" si="47"/>
        <v>0</v>
      </c>
      <c r="U18" s="82">
        <f t="shared" si="7"/>
        <v>0</v>
      </c>
      <c r="V18" s="82">
        <f t="shared" si="7"/>
        <v>0</v>
      </c>
      <c r="W18" s="82">
        <f t="shared" si="7"/>
        <v>0</v>
      </c>
      <c r="X18" s="82">
        <f t="shared" si="7"/>
        <v>0</v>
      </c>
      <c r="Y18" s="82">
        <f t="shared" si="7"/>
        <v>0</v>
      </c>
      <c r="Z18" s="82">
        <f t="shared" si="7"/>
        <v>0</v>
      </c>
      <c r="AA18" s="82">
        <f t="shared" si="7"/>
        <v>0</v>
      </c>
      <c r="AB18" s="82">
        <f t="shared" si="7"/>
        <v>0</v>
      </c>
      <c r="AC18" s="82">
        <f t="shared" si="7"/>
        <v>0</v>
      </c>
      <c r="AD18" s="82">
        <f t="shared" si="7"/>
        <v>0</v>
      </c>
      <c r="AE18" s="82">
        <f t="shared" si="7"/>
        <v>0</v>
      </c>
      <c r="AF18" s="82">
        <f t="shared" si="7"/>
        <v>0</v>
      </c>
      <c r="AG18" s="82">
        <f t="shared" si="7"/>
        <v>0</v>
      </c>
      <c r="AH18" s="82">
        <f t="shared" si="7"/>
        <v>0</v>
      </c>
      <c r="AI18" s="82">
        <f t="shared" si="7"/>
        <v>0</v>
      </c>
      <c r="AJ18" s="40">
        <v>39467</v>
      </c>
      <c r="AK18" s="187">
        <f t="shared" si="8"/>
        <v>6801634793.3527946</v>
      </c>
      <c r="AL18" s="43">
        <f t="shared" si="9"/>
        <v>6265744875.1840563</v>
      </c>
      <c r="AM18" s="43">
        <f t="shared" si="10"/>
        <v>6284177815.8331213</v>
      </c>
      <c r="AN18" s="43">
        <f t="shared" si="11"/>
        <v>6108000000</v>
      </c>
      <c r="AO18" s="43">
        <f t="shared" si="12"/>
        <v>25459557484.369972</v>
      </c>
      <c r="AR18" s="40">
        <v>39467</v>
      </c>
      <c r="AS18" s="85">
        <v>0</v>
      </c>
      <c r="AT18" s="85">
        <v>0</v>
      </c>
      <c r="AU18" s="85">
        <v>0</v>
      </c>
      <c r="AV18" s="63">
        <v>0</v>
      </c>
      <c r="AW18" s="63">
        <v>0</v>
      </c>
      <c r="AX18" s="63">
        <v>0</v>
      </c>
      <c r="AY18" s="63">
        <v>0</v>
      </c>
      <c r="AZ18" s="63">
        <v>0</v>
      </c>
      <c r="BA18" s="63">
        <v>0</v>
      </c>
      <c r="BB18" s="63">
        <v>0</v>
      </c>
      <c r="BC18" s="63">
        <v>0</v>
      </c>
      <c r="BD18" s="63">
        <v>0</v>
      </c>
      <c r="BE18" s="63">
        <v>0</v>
      </c>
      <c r="BF18" s="63">
        <v>0</v>
      </c>
      <c r="BG18" s="63">
        <v>0</v>
      </c>
      <c r="BH18" s="63">
        <v>0</v>
      </c>
      <c r="BJ18" s="40">
        <v>39467</v>
      </c>
      <c r="BK18" s="43">
        <f t="shared" si="13"/>
        <v>0</v>
      </c>
      <c r="BL18" s="43">
        <f t="shared" si="14"/>
        <v>0</v>
      </c>
      <c r="BM18" s="43">
        <f t="shared" si="15"/>
        <v>0</v>
      </c>
      <c r="BN18" s="43">
        <f t="shared" si="16"/>
        <v>0</v>
      </c>
      <c r="BO18" s="43">
        <f t="shared" si="17"/>
        <v>0</v>
      </c>
      <c r="BP18" s="43">
        <f t="shared" si="18"/>
        <v>0</v>
      </c>
      <c r="BQ18" s="43">
        <f t="shared" si="19"/>
        <v>0</v>
      </c>
      <c r="BR18" s="43">
        <f t="shared" si="20"/>
        <v>0</v>
      </c>
      <c r="BS18" s="43">
        <f t="shared" si="21"/>
        <v>0</v>
      </c>
      <c r="BT18" s="43">
        <f t="shared" si="22"/>
        <v>0</v>
      </c>
      <c r="BU18" s="43">
        <f t="shared" si="23"/>
        <v>0</v>
      </c>
      <c r="BV18" s="43">
        <f t="shared" si="24"/>
        <v>0</v>
      </c>
      <c r="BW18" s="43">
        <f t="shared" si="25"/>
        <v>0</v>
      </c>
      <c r="BX18" s="43">
        <f t="shared" si="26"/>
        <v>0</v>
      </c>
      <c r="BY18" s="43">
        <f t="shared" si="27"/>
        <v>0</v>
      </c>
      <c r="BZ18" s="43">
        <f t="shared" si="28"/>
        <v>0</v>
      </c>
      <c r="CA18" s="40">
        <v>39467</v>
      </c>
      <c r="CB18" s="43">
        <f t="shared" si="29"/>
        <v>0</v>
      </c>
      <c r="CC18" s="43">
        <f t="shared" si="30"/>
        <v>0</v>
      </c>
      <c r="CD18" s="43">
        <f t="shared" si="31"/>
        <v>0</v>
      </c>
      <c r="CE18" s="43">
        <f t="shared" si="32"/>
        <v>0</v>
      </c>
      <c r="CF18" s="43">
        <f t="shared" si="33"/>
        <v>0</v>
      </c>
      <c r="CG18" s="43">
        <f t="shared" si="34"/>
        <v>0</v>
      </c>
      <c r="CH18" s="43">
        <f t="shared" si="35"/>
        <v>0</v>
      </c>
      <c r="CI18" s="43">
        <f t="shared" si="36"/>
        <v>0</v>
      </c>
      <c r="CJ18" s="43">
        <f t="shared" si="37"/>
        <v>0</v>
      </c>
      <c r="CK18" s="43">
        <f t="shared" si="38"/>
        <v>0</v>
      </c>
      <c r="CL18" s="43">
        <f t="shared" si="39"/>
        <v>0</v>
      </c>
      <c r="CM18" s="43">
        <f t="shared" si="40"/>
        <v>0</v>
      </c>
      <c r="CN18" s="43">
        <f t="shared" si="41"/>
        <v>0</v>
      </c>
      <c r="CO18" s="43">
        <f t="shared" si="42"/>
        <v>0</v>
      </c>
      <c r="CP18" s="43">
        <f t="shared" si="43"/>
        <v>0</v>
      </c>
      <c r="CQ18" s="43">
        <f t="shared" si="44"/>
        <v>0</v>
      </c>
      <c r="CR18" s="64">
        <f t="shared" si="45"/>
        <v>0</v>
      </c>
      <c r="CT18" s="40">
        <v>39467</v>
      </c>
      <c r="CU18" s="71">
        <f>+CU$3-SUM(AS$4:AS18)</f>
        <v>620389918.17000008</v>
      </c>
      <c r="CV18" s="71">
        <f>+CV$3-SUM(AT$4:AT18)</f>
        <v>148567059.36000001</v>
      </c>
      <c r="CW18" s="71">
        <f>+CW$3-SUM(AU$4:AU18)</f>
        <v>199177815.83999997</v>
      </c>
      <c r="CX18" s="71">
        <f>+CX$3-SUM(AV$4:AV18)</f>
        <v>2596000000</v>
      </c>
      <c r="CY18" s="71">
        <f>+CY$3-SUM(AW$4:AW18)</f>
        <v>1698999999.9999998</v>
      </c>
      <c r="CZ18" s="71">
        <f>+CZ$3-SUM(AX$4:AX18)</f>
        <v>1038500000</v>
      </c>
      <c r="DA18" s="71">
        <f>+DA$3-SUM(AY$4:AY18)</f>
        <v>500000000</v>
      </c>
      <c r="DB18" s="71">
        <f>+DB$3-SUM(AZ$4:AZ18)</f>
        <v>84500000</v>
      </c>
      <c r="DC18" s="71">
        <f>+DC$3-SUM(BA$4:BA18)</f>
        <v>167000000</v>
      </c>
      <c r="DD18" s="71">
        <f>+DD$3-SUM(BB$4:BB18)</f>
        <v>23000000</v>
      </c>
      <c r="DE18" s="71">
        <f>+DE$3-SUM(BC$4:BC18)</f>
        <v>74500000</v>
      </c>
      <c r="DF18" s="71">
        <f>+DF$3-SUM(BD$4:BD18)</f>
        <v>91000000</v>
      </c>
      <c r="DG18" s="71">
        <f>+DG$3-SUM(BE$4:BE18)</f>
        <v>56000000</v>
      </c>
      <c r="DH18" s="71">
        <f>+DH$3-SUM(BF$4:BF18)</f>
        <v>70000000</v>
      </c>
      <c r="DI18" s="71">
        <f>+DI$3-SUM(BG$4:BG18)</f>
        <v>211000000.00000003</v>
      </c>
      <c r="DJ18" s="71">
        <f>+DJ$3-SUM(BH$4:BH18)</f>
        <v>20000000</v>
      </c>
    </row>
    <row r="19" spans="1:114">
      <c r="A19" s="75">
        <v>39498</v>
      </c>
      <c r="B19" s="76">
        <f t="shared" si="3"/>
        <v>366498370.45094711</v>
      </c>
      <c r="C19" s="76">
        <f t="shared" si="59"/>
        <v>87766715.029042602</v>
      </c>
      <c r="D19" s="76">
        <f t="shared" si="59"/>
        <v>117665266.30267251</v>
      </c>
      <c r="E19" s="76">
        <f t="shared" si="59"/>
        <v>2596000000</v>
      </c>
      <c r="F19" s="76">
        <f t="shared" si="59"/>
        <v>1698999999.9999998</v>
      </c>
      <c r="G19" s="76">
        <f t="shared" si="59"/>
        <v>1038500000</v>
      </c>
      <c r="H19" s="76">
        <f t="shared" si="59"/>
        <v>500000000</v>
      </c>
      <c r="I19" s="76">
        <f t="shared" si="59"/>
        <v>84500000</v>
      </c>
      <c r="J19" s="76">
        <f t="shared" si="59"/>
        <v>167000000</v>
      </c>
      <c r="K19" s="76">
        <f t="shared" si="59"/>
        <v>23000000</v>
      </c>
      <c r="L19" s="76">
        <f t="shared" si="59"/>
        <v>74500000</v>
      </c>
      <c r="M19" s="76">
        <f t="shared" si="59"/>
        <v>91000000</v>
      </c>
      <c r="N19" s="76">
        <f t="shared" si="59"/>
        <v>56000000</v>
      </c>
      <c r="O19" s="76">
        <f t="shared" si="59"/>
        <v>70000000</v>
      </c>
      <c r="P19" s="76">
        <f t="shared" si="59"/>
        <v>211000000.00000003</v>
      </c>
      <c r="Q19" s="76">
        <f t="shared" si="59"/>
        <v>20000000</v>
      </c>
      <c r="S19" s="40">
        <v>39498</v>
      </c>
      <c r="T19" s="82">
        <f t="shared" si="47"/>
        <v>253891547.72</v>
      </c>
      <c r="U19" s="82">
        <f t="shared" si="7"/>
        <v>60800344.32</v>
      </c>
      <c r="V19" s="82">
        <f t="shared" si="7"/>
        <v>81512549.530000001</v>
      </c>
      <c r="W19" s="82">
        <f t="shared" si="7"/>
        <v>0</v>
      </c>
      <c r="X19" s="82">
        <f t="shared" si="7"/>
        <v>0</v>
      </c>
      <c r="Y19" s="82">
        <f t="shared" si="7"/>
        <v>0</v>
      </c>
      <c r="Z19" s="82">
        <f t="shared" si="7"/>
        <v>0</v>
      </c>
      <c r="AA19" s="82">
        <f t="shared" si="7"/>
        <v>0</v>
      </c>
      <c r="AB19" s="82">
        <f t="shared" si="7"/>
        <v>0</v>
      </c>
      <c r="AC19" s="82">
        <f t="shared" si="7"/>
        <v>0</v>
      </c>
      <c r="AD19" s="82">
        <f t="shared" si="7"/>
        <v>0</v>
      </c>
      <c r="AE19" s="82">
        <f t="shared" si="7"/>
        <v>0</v>
      </c>
      <c r="AF19" s="82">
        <f t="shared" si="7"/>
        <v>0</v>
      </c>
      <c r="AG19" s="82">
        <f t="shared" si="7"/>
        <v>0</v>
      </c>
      <c r="AH19" s="82">
        <f t="shared" si="7"/>
        <v>0</v>
      </c>
      <c r="AI19" s="82">
        <f t="shared" si="7"/>
        <v>0</v>
      </c>
      <c r="AJ19" s="40">
        <v>39498</v>
      </c>
      <c r="AK19" s="187">
        <f t="shared" si="8"/>
        <v>6405430351.7826624</v>
      </c>
      <c r="AL19" s="43">
        <f t="shared" si="9"/>
        <v>6123431981.3317146</v>
      </c>
      <c r="AM19" s="43">
        <f t="shared" si="10"/>
        <v>6202665266.3026724</v>
      </c>
      <c r="AN19" s="43">
        <f t="shared" si="11"/>
        <v>6108000000</v>
      </c>
      <c r="AO19" s="43">
        <f t="shared" si="12"/>
        <v>24839527599.417049</v>
      </c>
      <c r="AR19" s="40">
        <v>39498</v>
      </c>
      <c r="AS19" s="85">
        <v>253891547.72</v>
      </c>
      <c r="AT19" s="85">
        <v>60800344.32</v>
      </c>
      <c r="AU19" s="85">
        <v>81512549.530000001</v>
      </c>
      <c r="AV19" s="63">
        <v>0</v>
      </c>
      <c r="AW19" s="63">
        <v>0</v>
      </c>
      <c r="AX19" s="63">
        <v>0</v>
      </c>
      <c r="AY19" s="63">
        <v>0</v>
      </c>
      <c r="AZ19" s="63">
        <v>0</v>
      </c>
      <c r="BA19" s="63">
        <v>0</v>
      </c>
      <c r="BB19" s="63">
        <v>0</v>
      </c>
      <c r="BC19" s="63">
        <v>0</v>
      </c>
      <c r="BD19" s="63">
        <v>0</v>
      </c>
      <c r="BE19" s="63">
        <v>0</v>
      </c>
      <c r="BF19" s="63">
        <v>0</v>
      </c>
      <c r="BG19" s="63">
        <v>0</v>
      </c>
      <c r="BH19" s="63">
        <v>0</v>
      </c>
      <c r="BJ19" s="40">
        <v>39498</v>
      </c>
      <c r="BK19" s="43">
        <f t="shared" si="13"/>
        <v>0</v>
      </c>
      <c r="BL19" s="43">
        <f t="shared" si="14"/>
        <v>0</v>
      </c>
      <c r="BM19" s="43">
        <f t="shared" si="15"/>
        <v>0</v>
      </c>
      <c r="BN19" s="43">
        <f t="shared" si="16"/>
        <v>0</v>
      </c>
      <c r="BO19" s="43">
        <f t="shared" si="17"/>
        <v>0</v>
      </c>
      <c r="BP19" s="43">
        <f t="shared" si="18"/>
        <v>0</v>
      </c>
      <c r="BQ19" s="43">
        <f t="shared" si="19"/>
        <v>0</v>
      </c>
      <c r="BR19" s="43">
        <f t="shared" si="20"/>
        <v>0</v>
      </c>
      <c r="BS19" s="43">
        <f t="shared" si="21"/>
        <v>0</v>
      </c>
      <c r="BT19" s="43">
        <f t="shared" si="22"/>
        <v>0</v>
      </c>
      <c r="BU19" s="43">
        <f t="shared" si="23"/>
        <v>0</v>
      </c>
      <c r="BV19" s="43">
        <f t="shared" si="24"/>
        <v>0</v>
      </c>
      <c r="BW19" s="43">
        <f t="shared" si="25"/>
        <v>0</v>
      </c>
      <c r="BX19" s="43">
        <f t="shared" si="26"/>
        <v>0</v>
      </c>
      <c r="BY19" s="43">
        <f t="shared" si="27"/>
        <v>0</v>
      </c>
      <c r="BZ19" s="43">
        <f t="shared" si="28"/>
        <v>0</v>
      </c>
      <c r="CA19" s="40">
        <v>39498</v>
      </c>
      <c r="CB19" s="43">
        <f t="shared" si="29"/>
        <v>0</v>
      </c>
      <c r="CC19" s="43">
        <f t="shared" si="30"/>
        <v>0</v>
      </c>
      <c r="CD19" s="43">
        <f t="shared" si="31"/>
        <v>0</v>
      </c>
      <c r="CE19" s="43">
        <f t="shared" si="32"/>
        <v>0</v>
      </c>
      <c r="CF19" s="43">
        <f t="shared" si="33"/>
        <v>0</v>
      </c>
      <c r="CG19" s="43">
        <f t="shared" si="34"/>
        <v>0</v>
      </c>
      <c r="CH19" s="43">
        <f t="shared" si="35"/>
        <v>0</v>
      </c>
      <c r="CI19" s="43">
        <f t="shared" si="36"/>
        <v>0</v>
      </c>
      <c r="CJ19" s="43">
        <f t="shared" si="37"/>
        <v>0</v>
      </c>
      <c r="CK19" s="43">
        <f t="shared" si="38"/>
        <v>0</v>
      </c>
      <c r="CL19" s="43">
        <f t="shared" si="39"/>
        <v>0</v>
      </c>
      <c r="CM19" s="43">
        <f t="shared" si="40"/>
        <v>0</v>
      </c>
      <c r="CN19" s="43">
        <f t="shared" si="41"/>
        <v>0</v>
      </c>
      <c r="CO19" s="43">
        <f t="shared" si="42"/>
        <v>0</v>
      </c>
      <c r="CP19" s="43">
        <f t="shared" si="43"/>
        <v>0</v>
      </c>
      <c r="CQ19" s="43">
        <f t="shared" si="44"/>
        <v>0</v>
      </c>
      <c r="CR19" s="64">
        <f t="shared" si="45"/>
        <v>0</v>
      </c>
      <c r="CT19" s="40">
        <v>39498</v>
      </c>
      <c r="CU19" s="71">
        <f>+CU$3-SUM(AS$4:AS19)</f>
        <v>366498370.45000005</v>
      </c>
      <c r="CV19" s="71">
        <f>+CV$3-SUM(AT$4:AT19)</f>
        <v>87766715.040000021</v>
      </c>
      <c r="CW19" s="71">
        <f>+CW$3-SUM(AU$4:AU19)</f>
        <v>117665266.30999994</v>
      </c>
      <c r="CX19" s="71">
        <f>+CX$3-SUM(AV$4:AV19)</f>
        <v>2596000000</v>
      </c>
      <c r="CY19" s="71">
        <f>+CY$3-SUM(AW$4:AW19)</f>
        <v>1698999999.9999998</v>
      </c>
      <c r="CZ19" s="71">
        <f>+CZ$3-SUM(AX$4:AX19)</f>
        <v>1038500000</v>
      </c>
      <c r="DA19" s="71">
        <f>+DA$3-SUM(AY$4:AY19)</f>
        <v>500000000</v>
      </c>
      <c r="DB19" s="71">
        <f>+DB$3-SUM(AZ$4:AZ19)</f>
        <v>84500000</v>
      </c>
      <c r="DC19" s="71">
        <f>+DC$3-SUM(BA$4:BA19)</f>
        <v>167000000</v>
      </c>
      <c r="DD19" s="71">
        <f>+DD$3-SUM(BB$4:BB19)</f>
        <v>23000000</v>
      </c>
      <c r="DE19" s="71">
        <f>+DE$3-SUM(BC$4:BC19)</f>
        <v>74500000</v>
      </c>
      <c r="DF19" s="71">
        <f>+DF$3-SUM(BD$4:BD19)</f>
        <v>91000000</v>
      </c>
      <c r="DG19" s="71">
        <f>+DG$3-SUM(BE$4:BE19)</f>
        <v>56000000</v>
      </c>
      <c r="DH19" s="71">
        <f>+DH$3-SUM(BF$4:BF19)</f>
        <v>70000000</v>
      </c>
      <c r="DI19" s="71">
        <f>+DI$3-SUM(BG$4:BG19)</f>
        <v>211000000.00000003</v>
      </c>
      <c r="DJ19" s="71">
        <f>+DJ$3-SUM(BH$4:BH19)</f>
        <v>20000000</v>
      </c>
    </row>
    <row r="20" spans="1:114">
      <c r="A20" s="75">
        <v>39527</v>
      </c>
      <c r="B20" s="76">
        <f t="shared" si="3"/>
        <v>366498370.45094711</v>
      </c>
      <c r="C20" s="76">
        <f t="shared" si="59"/>
        <v>87766715.029042602</v>
      </c>
      <c r="D20" s="76">
        <f t="shared" si="59"/>
        <v>117665266.30267251</v>
      </c>
      <c r="E20" s="76">
        <f t="shared" si="59"/>
        <v>2596000000</v>
      </c>
      <c r="F20" s="76">
        <f t="shared" si="59"/>
        <v>1698999999.9999998</v>
      </c>
      <c r="G20" s="76">
        <f t="shared" si="59"/>
        <v>1038500000</v>
      </c>
      <c r="H20" s="76">
        <f t="shared" si="59"/>
        <v>500000000</v>
      </c>
      <c r="I20" s="76">
        <f t="shared" si="59"/>
        <v>84500000</v>
      </c>
      <c r="J20" s="76">
        <f t="shared" si="59"/>
        <v>167000000</v>
      </c>
      <c r="K20" s="76">
        <f t="shared" si="59"/>
        <v>23000000</v>
      </c>
      <c r="L20" s="76">
        <f t="shared" si="59"/>
        <v>74500000</v>
      </c>
      <c r="M20" s="76">
        <f t="shared" si="59"/>
        <v>91000000</v>
      </c>
      <c r="N20" s="76">
        <f t="shared" si="59"/>
        <v>56000000</v>
      </c>
      <c r="O20" s="76">
        <f t="shared" si="59"/>
        <v>70000000</v>
      </c>
      <c r="P20" s="76">
        <f t="shared" si="59"/>
        <v>211000000.00000003</v>
      </c>
      <c r="Q20" s="76">
        <f t="shared" si="59"/>
        <v>20000000</v>
      </c>
      <c r="S20" s="40">
        <v>39527</v>
      </c>
      <c r="T20" s="82">
        <f t="shared" si="47"/>
        <v>0</v>
      </c>
      <c r="U20" s="82">
        <f t="shared" si="7"/>
        <v>0</v>
      </c>
      <c r="V20" s="82">
        <f t="shared" si="7"/>
        <v>0</v>
      </c>
      <c r="W20" s="82">
        <f t="shared" si="7"/>
        <v>0</v>
      </c>
      <c r="X20" s="82">
        <f t="shared" si="7"/>
        <v>0</v>
      </c>
      <c r="Y20" s="82">
        <f t="shared" si="7"/>
        <v>0</v>
      </c>
      <c r="Z20" s="82">
        <f t="shared" si="7"/>
        <v>0</v>
      </c>
      <c r="AA20" s="82">
        <f t="shared" si="7"/>
        <v>0</v>
      </c>
      <c r="AB20" s="82">
        <f t="shared" si="7"/>
        <v>0</v>
      </c>
      <c r="AC20" s="82">
        <f t="shared" si="7"/>
        <v>0</v>
      </c>
      <c r="AD20" s="82">
        <f t="shared" si="7"/>
        <v>0</v>
      </c>
      <c r="AE20" s="82">
        <f t="shared" si="7"/>
        <v>0</v>
      </c>
      <c r="AF20" s="82">
        <f t="shared" si="7"/>
        <v>0</v>
      </c>
      <c r="AG20" s="82">
        <f t="shared" si="7"/>
        <v>0</v>
      </c>
      <c r="AH20" s="82">
        <f t="shared" si="7"/>
        <v>0</v>
      </c>
      <c r="AI20" s="82">
        <f t="shared" si="7"/>
        <v>0</v>
      </c>
      <c r="AJ20" s="40">
        <v>39527</v>
      </c>
      <c r="AK20" s="187">
        <f t="shared" si="8"/>
        <v>6405430351.7826624</v>
      </c>
      <c r="AL20" s="43">
        <f t="shared" si="9"/>
        <v>6123431981.3317146</v>
      </c>
      <c r="AM20" s="43">
        <f t="shared" si="10"/>
        <v>6202665266.3026724</v>
      </c>
      <c r="AN20" s="43">
        <f t="shared" si="11"/>
        <v>6108000000</v>
      </c>
      <c r="AO20" s="43">
        <f t="shared" si="12"/>
        <v>24839527599.417049</v>
      </c>
      <c r="AR20" s="40">
        <v>39527</v>
      </c>
      <c r="AS20" s="85">
        <v>0</v>
      </c>
      <c r="AT20" s="85">
        <v>0</v>
      </c>
      <c r="AU20" s="85">
        <v>0</v>
      </c>
      <c r="AV20" s="63">
        <v>0</v>
      </c>
      <c r="AW20" s="63">
        <v>0</v>
      </c>
      <c r="AX20" s="63">
        <v>0</v>
      </c>
      <c r="AY20" s="63">
        <v>0</v>
      </c>
      <c r="AZ20" s="63">
        <v>0</v>
      </c>
      <c r="BA20" s="63">
        <v>0</v>
      </c>
      <c r="BB20" s="63">
        <v>0</v>
      </c>
      <c r="BC20" s="63">
        <v>0</v>
      </c>
      <c r="BD20" s="63">
        <v>0</v>
      </c>
      <c r="BE20" s="63">
        <v>0</v>
      </c>
      <c r="BF20" s="63">
        <v>0</v>
      </c>
      <c r="BG20" s="63">
        <v>0</v>
      </c>
      <c r="BH20" s="63">
        <v>0</v>
      </c>
      <c r="BJ20" s="40">
        <v>39527</v>
      </c>
      <c r="BK20" s="43">
        <f t="shared" si="13"/>
        <v>0</v>
      </c>
      <c r="BL20" s="43">
        <f t="shared" si="14"/>
        <v>0</v>
      </c>
      <c r="BM20" s="43">
        <f t="shared" si="15"/>
        <v>0</v>
      </c>
      <c r="BN20" s="43">
        <f t="shared" si="16"/>
        <v>0</v>
      </c>
      <c r="BO20" s="43">
        <f t="shared" si="17"/>
        <v>0</v>
      </c>
      <c r="BP20" s="43">
        <f t="shared" si="18"/>
        <v>0</v>
      </c>
      <c r="BQ20" s="43">
        <f t="shared" si="19"/>
        <v>0</v>
      </c>
      <c r="BR20" s="43">
        <f t="shared" si="20"/>
        <v>0</v>
      </c>
      <c r="BS20" s="43">
        <f t="shared" si="21"/>
        <v>0</v>
      </c>
      <c r="BT20" s="43">
        <f t="shared" si="22"/>
        <v>0</v>
      </c>
      <c r="BU20" s="43">
        <f t="shared" si="23"/>
        <v>0</v>
      </c>
      <c r="BV20" s="43">
        <f t="shared" si="24"/>
        <v>0</v>
      </c>
      <c r="BW20" s="43">
        <f t="shared" si="25"/>
        <v>0</v>
      </c>
      <c r="BX20" s="43">
        <f t="shared" si="26"/>
        <v>0</v>
      </c>
      <c r="BY20" s="43">
        <f t="shared" si="27"/>
        <v>0</v>
      </c>
      <c r="BZ20" s="43">
        <f t="shared" si="28"/>
        <v>0</v>
      </c>
      <c r="CA20" s="40">
        <v>39527</v>
      </c>
      <c r="CB20" s="43">
        <f t="shared" ref="CB20:CP20" si="60">+CB19+BK20</f>
        <v>0</v>
      </c>
      <c r="CC20" s="43">
        <f t="shared" si="60"/>
        <v>0</v>
      </c>
      <c r="CD20" s="43">
        <f t="shared" si="60"/>
        <v>0</v>
      </c>
      <c r="CE20" s="43">
        <f t="shared" si="60"/>
        <v>0</v>
      </c>
      <c r="CF20" s="43">
        <f t="shared" si="60"/>
        <v>0</v>
      </c>
      <c r="CG20" s="43">
        <f t="shared" si="60"/>
        <v>0</v>
      </c>
      <c r="CH20" s="43">
        <f t="shared" si="60"/>
        <v>0</v>
      </c>
      <c r="CI20" s="43">
        <f t="shared" si="60"/>
        <v>0</v>
      </c>
      <c r="CJ20" s="43">
        <f t="shared" si="60"/>
        <v>0</v>
      </c>
      <c r="CK20" s="43">
        <f t="shared" si="60"/>
        <v>0</v>
      </c>
      <c r="CL20" s="43">
        <f t="shared" si="60"/>
        <v>0</v>
      </c>
      <c r="CM20" s="43">
        <f t="shared" si="60"/>
        <v>0</v>
      </c>
      <c r="CN20" s="43">
        <f t="shared" si="60"/>
        <v>0</v>
      </c>
      <c r="CO20" s="43">
        <f t="shared" si="60"/>
        <v>0</v>
      </c>
      <c r="CP20" s="43">
        <f t="shared" si="60"/>
        <v>0</v>
      </c>
      <c r="CQ20" s="43">
        <f t="shared" ref="CQ20:CQ83" si="61">+CQ19+BZ20</f>
        <v>0</v>
      </c>
      <c r="CR20" s="64">
        <f t="shared" si="45"/>
        <v>0</v>
      </c>
      <c r="CT20" s="40">
        <v>39527</v>
      </c>
      <c r="CU20" s="71">
        <f>+CU$3-SUM(AS$4:AS20)</f>
        <v>366498370.45000005</v>
      </c>
      <c r="CV20" s="71">
        <f>+CV$3-SUM(AT$4:AT20)</f>
        <v>87766715.040000021</v>
      </c>
      <c r="CW20" s="71">
        <f>+CW$3-SUM(AU$4:AU20)</f>
        <v>117665266.30999994</v>
      </c>
      <c r="CX20" s="71">
        <f>+CX$3-SUM(AV$4:AV20)</f>
        <v>2596000000</v>
      </c>
      <c r="CY20" s="71">
        <f>+CY$3-SUM(AW$4:AW20)</f>
        <v>1698999999.9999998</v>
      </c>
      <c r="CZ20" s="71">
        <f>+CZ$3-SUM(AX$4:AX20)</f>
        <v>1038500000</v>
      </c>
      <c r="DA20" s="71">
        <f>+DA$3-SUM(AY$4:AY20)</f>
        <v>500000000</v>
      </c>
      <c r="DB20" s="71">
        <f>+DB$3-SUM(AZ$4:AZ20)</f>
        <v>84500000</v>
      </c>
      <c r="DC20" s="71">
        <f>+DC$3-SUM(BA$4:BA20)</f>
        <v>167000000</v>
      </c>
      <c r="DD20" s="71">
        <f>+DD$3-SUM(BB$4:BB20)</f>
        <v>23000000</v>
      </c>
      <c r="DE20" s="71">
        <f>+DE$3-SUM(BC$4:BC20)</f>
        <v>74500000</v>
      </c>
      <c r="DF20" s="71">
        <f>+DF$3-SUM(BD$4:BD20)</f>
        <v>91000000</v>
      </c>
      <c r="DG20" s="71">
        <f>+DG$3-SUM(BE$4:BE20)</f>
        <v>56000000</v>
      </c>
      <c r="DH20" s="71">
        <f>+DH$3-SUM(BF$4:BF20)</f>
        <v>70000000</v>
      </c>
      <c r="DI20" s="71">
        <f>+DI$3-SUM(BG$4:BG20)</f>
        <v>211000000.00000003</v>
      </c>
      <c r="DJ20" s="71">
        <f>+DJ$3-SUM(BH$4:BH20)</f>
        <v>20000000</v>
      </c>
    </row>
    <row r="21" spans="1:114">
      <c r="A21" s="75">
        <v>39558</v>
      </c>
      <c r="B21" s="76">
        <f t="shared" si="3"/>
        <v>366498370.45094711</v>
      </c>
      <c r="C21" s="76">
        <f t="shared" si="59"/>
        <v>87766715.029042602</v>
      </c>
      <c r="D21" s="76">
        <f t="shared" si="59"/>
        <v>117665266.30267251</v>
      </c>
      <c r="E21" s="76">
        <f t="shared" si="59"/>
        <v>2596000000</v>
      </c>
      <c r="F21" s="76">
        <f t="shared" si="59"/>
        <v>1698999999.9999998</v>
      </c>
      <c r="G21" s="76">
        <f t="shared" si="59"/>
        <v>1038500000</v>
      </c>
      <c r="H21" s="76">
        <f t="shared" si="59"/>
        <v>500000000</v>
      </c>
      <c r="I21" s="76">
        <f t="shared" si="59"/>
        <v>84500000</v>
      </c>
      <c r="J21" s="76">
        <f t="shared" si="59"/>
        <v>167000000</v>
      </c>
      <c r="K21" s="76">
        <f t="shared" si="59"/>
        <v>23000000</v>
      </c>
      <c r="L21" s="76">
        <f t="shared" si="59"/>
        <v>74500000</v>
      </c>
      <c r="M21" s="76">
        <f t="shared" si="59"/>
        <v>91000000</v>
      </c>
      <c r="N21" s="76">
        <f t="shared" si="59"/>
        <v>56000000</v>
      </c>
      <c r="O21" s="76">
        <f t="shared" si="59"/>
        <v>70000000</v>
      </c>
      <c r="P21" s="76">
        <f t="shared" si="59"/>
        <v>211000000.00000003</v>
      </c>
      <c r="Q21" s="76">
        <f t="shared" si="59"/>
        <v>20000000</v>
      </c>
      <c r="S21" s="40">
        <v>39558</v>
      </c>
      <c r="T21" s="82">
        <f t="shared" si="47"/>
        <v>0</v>
      </c>
      <c r="U21" s="82">
        <f t="shared" ref="U21:U84" si="62">+ROUND(C20-C21,2)</f>
        <v>0</v>
      </c>
      <c r="V21" s="82">
        <f t="shared" ref="V21:V84" si="63">+ROUND(D20-D21,2)</f>
        <v>0</v>
      </c>
      <c r="W21" s="82">
        <f t="shared" ref="W21:W84" si="64">+ROUND(E20-E21,2)</f>
        <v>0</v>
      </c>
      <c r="X21" s="82">
        <f t="shared" ref="X21:X84" si="65">+ROUND(F20-F21,2)</f>
        <v>0</v>
      </c>
      <c r="Y21" s="82">
        <f t="shared" ref="Y21:Y84" si="66">+ROUND(G20-G21,2)</f>
        <v>0</v>
      </c>
      <c r="Z21" s="82">
        <f t="shared" ref="Z21:Z84" si="67">+ROUND(H20-H21,2)</f>
        <v>0</v>
      </c>
      <c r="AA21" s="82">
        <f t="shared" ref="AA21:AA84" si="68">+ROUND(I20-I21,2)</f>
        <v>0</v>
      </c>
      <c r="AB21" s="82">
        <f t="shared" ref="AB21:AB84" si="69">+ROUND(J20-J21,2)</f>
        <v>0</v>
      </c>
      <c r="AC21" s="82">
        <f t="shared" ref="AC21:AC84" si="70">+ROUND(K20-K21,2)</f>
        <v>0</v>
      </c>
      <c r="AD21" s="82">
        <f t="shared" ref="AD21:AD84" si="71">+ROUND(L20-L21,2)</f>
        <v>0</v>
      </c>
      <c r="AE21" s="82">
        <f t="shared" ref="AE21:AE84" si="72">+ROUND(M20-M21,2)</f>
        <v>0</v>
      </c>
      <c r="AF21" s="82">
        <f t="shared" ref="AF21:AF84" si="73">+ROUND(N20-N21,2)</f>
        <v>0</v>
      </c>
      <c r="AG21" s="82">
        <f t="shared" ref="AG21:AG84" si="74">+ROUND(O20-O21,2)</f>
        <v>0</v>
      </c>
      <c r="AH21" s="82">
        <f t="shared" ref="AH21:AH84" si="75">+ROUND(P20-P21,2)</f>
        <v>0</v>
      </c>
      <c r="AI21" s="82">
        <f t="shared" ref="AI21:AI84" si="76">+ROUND(Q20-Q21,2)</f>
        <v>0</v>
      </c>
      <c r="AJ21" s="40">
        <v>39558</v>
      </c>
      <c r="AK21" s="187">
        <f t="shared" si="8"/>
        <v>6405430351.7826624</v>
      </c>
      <c r="AL21" s="43">
        <f t="shared" si="9"/>
        <v>6123431981.3317146</v>
      </c>
      <c r="AM21" s="43">
        <f t="shared" si="10"/>
        <v>6202665266.3026724</v>
      </c>
      <c r="AN21" s="43">
        <f t="shared" si="11"/>
        <v>6108000000</v>
      </c>
      <c r="AO21" s="43">
        <f t="shared" si="12"/>
        <v>24839527599.417049</v>
      </c>
      <c r="AR21" s="40">
        <v>39558</v>
      </c>
      <c r="AS21" s="85">
        <v>0</v>
      </c>
      <c r="AT21" s="85">
        <v>0</v>
      </c>
      <c r="AU21" s="85">
        <v>0</v>
      </c>
      <c r="AV21" s="63">
        <v>0</v>
      </c>
      <c r="AW21" s="63">
        <v>0</v>
      </c>
      <c r="AX21" s="63">
        <v>0</v>
      </c>
      <c r="AY21" s="63">
        <v>0</v>
      </c>
      <c r="AZ21" s="63">
        <v>0</v>
      </c>
      <c r="BA21" s="63">
        <v>0</v>
      </c>
      <c r="BB21" s="63">
        <v>0</v>
      </c>
      <c r="BC21" s="63">
        <v>0</v>
      </c>
      <c r="BD21" s="63">
        <v>0</v>
      </c>
      <c r="BE21" s="63">
        <v>0</v>
      </c>
      <c r="BF21" s="63">
        <v>0</v>
      </c>
      <c r="BG21" s="63">
        <v>0</v>
      </c>
      <c r="BH21" s="63">
        <v>0</v>
      </c>
      <c r="BJ21" s="40">
        <v>39558</v>
      </c>
      <c r="BK21" s="43">
        <f t="shared" si="13"/>
        <v>0</v>
      </c>
      <c r="BL21" s="43">
        <f t="shared" si="14"/>
        <v>0</v>
      </c>
      <c r="BM21" s="43">
        <f t="shared" si="15"/>
        <v>0</v>
      </c>
      <c r="BN21" s="43">
        <f t="shared" si="16"/>
        <v>0</v>
      </c>
      <c r="BO21" s="43">
        <f t="shared" si="17"/>
        <v>0</v>
      </c>
      <c r="BP21" s="43">
        <f t="shared" si="18"/>
        <v>0</v>
      </c>
      <c r="BQ21" s="43">
        <f t="shared" si="19"/>
        <v>0</v>
      </c>
      <c r="BR21" s="43">
        <f t="shared" si="20"/>
        <v>0</v>
      </c>
      <c r="BS21" s="43">
        <f t="shared" si="21"/>
        <v>0</v>
      </c>
      <c r="BT21" s="43">
        <f t="shared" si="22"/>
        <v>0</v>
      </c>
      <c r="BU21" s="43">
        <f t="shared" si="23"/>
        <v>0</v>
      </c>
      <c r="BV21" s="43">
        <f t="shared" si="24"/>
        <v>0</v>
      </c>
      <c r="BW21" s="43">
        <f t="shared" si="25"/>
        <v>0</v>
      </c>
      <c r="BX21" s="43">
        <f t="shared" si="26"/>
        <v>0</v>
      </c>
      <c r="BY21" s="43">
        <f t="shared" si="27"/>
        <v>0</v>
      </c>
      <c r="BZ21" s="43">
        <f t="shared" si="28"/>
        <v>0</v>
      </c>
      <c r="CA21" s="40">
        <v>39558</v>
      </c>
      <c r="CB21" s="43">
        <f t="shared" ref="CB21:CP37" si="77">+CB20+BK21</f>
        <v>0</v>
      </c>
      <c r="CC21" s="43">
        <f t="shared" si="77"/>
        <v>0</v>
      </c>
      <c r="CD21" s="43">
        <f t="shared" si="77"/>
        <v>0</v>
      </c>
      <c r="CE21" s="43">
        <f t="shared" si="77"/>
        <v>0</v>
      </c>
      <c r="CF21" s="43">
        <f t="shared" si="77"/>
        <v>0</v>
      </c>
      <c r="CG21" s="43">
        <f t="shared" si="77"/>
        <v>0</v>
      </c>
      <c r="CH21" s="43">
        <f t="shared" si="77"/>
        <v>0</v>
      </c>
      <c r="CI21" s="43">
        <f t="shared" si="77"/>
        <v>0</v>
      </c>
      <c r="CJ21" s="43">
        <f t="shared" si="77"/>
        <v>0</v>
      </c>
      <c r="CK21" s="43">
        <f t="shared" si="77"/>
        <v>0</v>
      </c>
      <c r="CL21" s="43">
        <f t="shared" si="77"/>
        <v>0</v>
      </c>
      <c r="CM21" s="43">
        <f t="shared" si="77"/>
        <v>0</v>
      </c>
      <c r="CN21" s="43">
        <f t="shared" si="77"/>
        <v>0</v>
      </c>
      <c r="CO21" s="43">
        <f t="shared" si="77"/>
        <v>0</v>
      </c>
      <c r="CP21" s="43">
        <f t="shared" si="77"/>
        <v>0</v>
      </c>
      <c r="CQ21" s="43">
        <f t="shared" si="61"/>
        <v>0</v>
      </c>
      <c r="CR21" s="64">
        <f t="shared" si="45"/>
        <v>0</v>
      </c>
      <c r="CT21" s="40">
        <v>39558</v>
      </c>
      <c r="CU21" s="71">
        <f>+CU$3-SUM(AS$4:AS21)</f>
        <v>366498370.45000005</v>
      </c>
      <c r="CV21" s="71">
        <f>+CV$3-SUM(AT$4:AT21)</f>
        <v>87766715.040000021</v>
      </c>
      <c r="CW21" s="71">
        <f>+CW$3-SUM(AU$4:AU21)</f>
        <v>117665266.30999994</v>
      </c>
      <c r="CX21" s="71">
        <f>+CX$3-SUM(AV$4:AV21)</f>
        <v>2596000000</v>
      </c>
      <c r="CY21" s="71">
        <f>+CY$3-SUM(AW$4:AW21)</f>
        <v>1698999999.9999998</v>
      </c>
      <c r="CZ21" s="71">
        <f>+CZ$3-SUM(AX$4:AX21)</f>
        <v>1038500000</v>
      </c>
      <c r="DA21" s="71">
        <f>+DA$3-SUM(AY$4:AY21)</f>
        <v>500000000</v>
      </c>
      <c r="DB21" s="71">
        <f>+DB$3-SUM(AZ$4:AZ21)</f>
        <v>84500000</v>
      </c>
      <c r="DC21" s="71">
        <f>+DC$3-SUM(BA$4:BA21)</f>
        <v>167000000</v>
      </c>
      <c r="DD21" s="71">
        <f>+DD$3-SUM(BB$4:BB21)</f>
        <v>23000000</v>
      </c>
      <c r="DE21" s="71">
        <f>+DE$3-SUM(BC$4:BC21)</f>
        <v>74500000</v>
      </c>
      <c r="DF21" s="71">
        <f>+DF$3-SUM(BD$4:BD21)</f>
        <v>91000000</v>
      </c>
      <c r="DG21" s="71">
        <f>+DG$3-SUM(BE$4:BE21)</f>
        <v>56000000</v>
      </c>
      <c r="DH21" s="71">
        <f>+DH$3-SUM(BF$4:BF21)</f>
        <v>70000000</v>
      </c>
      <c r="DI21" s="71">
        <f>+DI$3-SUM(BG$4:BG21)</f>
        <v>211000000.00000003</v>
      </c>
      <c r="DJ21" s="71">
        <f>+DJ$3-SUM(BH$4:BH21)</f>
        <v>20000000</v>
      </c>
    </row>
    <row r="22" spans="1:114">
      <c r="A22" s="75">
        <v>39588</v>
      </c>
      <c r="B22" s="76">
        <f t="shared" si="3"/>
        <v>126382569.60001652</v>
      </c>
      <c r="C22" s="76">
        <f t="shared" si="59"/>
        <v>30265299.562109217</v>
      </c>
      <c r="D22" s="76">
        <f t="shared" si="59"/>
        <v>40575456.555794775</v>
      </c>
      <c r="E22" s="76">
        <f t="shared" si="59"/>
        <v>2596000000</v>
      </c>
      <c r="F22" s="76">
        <f t="shared" si="59"/>
        <v>1698999999.9999998</v>
      </c>
      <c r="G22" s="76">
        <f t="shared" si="59"/>
        <v>1038500000</v>
      </c>
      <c r="H22" s="76">
        <f t="shared" si="59"/>
        <v>500000000</v>
      </c>
      <c r="I22" s="76">
        <f t="shared" si="59"/>
        <v>84500000</v>
      </c>
      <c r="J22" s="76">
        <f t="shared" si="59"/>
        <v>167000000</v>
      </c>
      <c r="K22" s="76">
        <f t="shared" si="59"/>
        <v>23000000</v>
      </c>
      <c r="L22" s="76">
        <f t="shared" si="59"/>
        <v>74500000</v>
      </c>
      <c r="M22" s="76">
        <f t="shared" si="59"/>
        <v>91000000</v>
      </c>
      <c r="N22" s="76">
        <f t="shared" si="59"/>
        <v>56000000</v>
      </c>
      <c r="O22" s="76">
        <f t="shared" si="59"/>
        <v>70000000</v>
      </c>
      <c r="P22" s="76">
        <f t="shared" si="59"/>
        <v>211000000.00000003</v>
      </c>
      <c r="Q22" s="76">
        <f t="shared" si="59"/>
        <v>20000000</v>
      </c>
      <c r="S22" s="40">
        <v>39588</v>
      </c>
      <c r="T22" s="402">
        <f t="shared" si="47"/>
        <v>240115800.84999999</v>
      </c>
      <c r="U22" s="82">
        <f t="shared" si="62"/>
        <v>57501415.469999999</v>
      </c>
      <c r="V22" s="82">
        <f t="shared" si="63"/>
        <v>77089809.75</v>
      </c>
      <c r="W22" s="82">
        <f t="shared" si="64"/>
        <v>0</v>
      </c>
      <c r="X22" s="82">
        <f t="shared" si="65"/>
        <v>0</v>
      </c>
      <c r="Y22" s="82">
        <f t="shared" si="66"/>
        <v>0</v>
      </c>
      <c r="Z22" s="82">
        <f t="shared" si="67"/>
        <v>0</v>
      </c>
      <c r="AA22" s="82">
        <f t="shared" si="68"/>
        <v>0</v>
      </c>
      <c r="AB22" s="82">
        <f t="shared" si="69"/>
        <v>0</v>
      </c>
      <c r="AC22" s="82">
        <f t="shared" si="70"/>
        <v>0</v>
      </c>
      <c r="AD22" s="82">
        <f t="shared" si="71"/>
        <v>0</v>
      </c>
      <c r="AE22" s="82">
        <f t="shared" si="72"/>
        <v>0</v>
      </c>
      <c r="AF22" s="82">
        <f t="shared" si="73"/>
        <v>0</v>
      </c>
      <c r="AG22" s="82">
        <f t="shared" si="74"/>
        <v>0</v>
      </c>
      <c r="AH22" s="82">
        <f t="shared" si="75"/>
        <v>0</v>
      </c>
      <c r="AI22" s="82">
        <f t="shared" si="76"/>
        <v>0</v>
      </c>
      <c r="AJ22" s="40">
        <v>39588</v>
      </c>
      <c r="AK22" s="187">
        <f t="shared" si="8"/>
        <v>6030723325.7179203</v>
      </c>
      <c r="AL22" s="43">
        <f t="shared" si="9"/>
        <v>5988840756.1179037</v>
      </c>
      <c r="AM22" s="43">
        <f t="shared" si="10"/>
        <v>6125575456.5557947</v>
      </c>
      <c r="AN22" s="43">
        <f t="shared" si="11"/>
        <v>6108000000</v>
      </c>
      <c r="AO22" s="43">
        <f t="shared" si="12"/>
        <v>24253139538.391617</v>
      </c>
      <c r="AR22" s="40">
        <v>39588</v>
      </c>
      <c r="AS22" s="85">
        <v>240115800.84999999</v>
      </c>
      <c r="AT22" s="85">
        <v>57501415.469999999</v>
      </c>
      <c r="AU22" s="85">
        <v>77089809.75</v>
      </c>
      <c r="AV22" s="63">
        <v>0</v>
      </c>
      <c r="AW22" s="63">
        <v>0</v>
      </c>
      <c r="AX22" s="63">
        <v>0</v>
      </c>
      <c r="AY22" s="63">
        <v>0</v>
      </c>
      <c r="AZ22" s="63">
        <v>0</v>
      </c>
      <c r="BA22" s="63">
        <v>0</v>
      </c>
      <c r="BB22" s="63">
        <v>0</v>
      </c>
      <c r="BC22" s="63">
        <v>0</v>
      </c>
      <c r="BD22" s="63">
        <v>0</v>
      </c>
      <c r="BE22" s="63">
        <v>0</v>
      </c>
      <c r="BF22" s="63">
        <v>0</v>
      </c>
      <c r="BG22" s="63">
        <v>0</v>
      </c>
      <c r="BH22" s="63">
        <v>0</v>
      </c>
      <c r="BJ22" s="40">
        <v>39588</v>
      </c>
      <c r="BK22" s="43">
        <f t="shared" si="13"/>
        <v>0</v>
      </c>
      <c r="BL22" s="43">
        <f t="shared" si="14"/>
        <v>0</v>
      </c>
      <c r="BM22" s="43">
        <f t="shared" si="15"/>
        <v>0</v>
      </c>
      <c r="BN22" s="43">
        <f t="shared" si="16"/>
        <v>0</v>
      </c>
      <c r="BO22" s="43">
        <f t="shared" si="17"/>
        <v>0</v>
      </c>
      <c r="BP22" s="43">
        <f t="shared" si="18"/>
        <v>0</v>
      </c>
      <c r="BQ22" s="43">
        <f t="shared" si="19"/>
        <v>0</v>
      </c>
      <c r="BR22" s="43">
        <f t="shared" si="20"/>
        <v>0</v>
      </c>
      <c r="BS22" s="43">
        <f t="shared" si="21"/>
        <v>0</v>
      </c>
      <c r="BT22" s="43">
        <f t="shared" si="22"/>
        <v>0</v>
      </c>
      <c r="BU22" s="43">
        <f t="shared" si="23"/>
        <v>0</v>
      </c>
      <c r="BV22" s="43">
        <f t="shared" si="24"/>
        <v>0</v>
      </c>
      <c r="BW22" s="43">
        <f t="shared" si="25"/>
        <v>0</v>
      </c>
      <c r="BX22" s="43">
        <f t="shared" si="26"/>
        <v>0</v>
      </c>
      <c r="BY22" s="43">
        <f t="shared" si="27"/>
        <v>0</v>
      </c>
      <c r="BZ22" s="43">
        <f t="shared" si="28"/>
        <v>0</v>
      </c>
      <c r="CA22" s="40">
        <v>39588</v>
      </c>
      <c r="CB22" s="43">
        <f t="shared" si="77"/>
        <v>0</v>
      </c>
      <c r="CC22" s="43">
        <f t="shared" si="77"/>
        <v>0</v>
      </c>
      <c r="CD22" s="43">
        <f t="shared" si="77"/>
        <v>0</v>
      </c>
      <c r="CE22" s="43">
        <f t="shared" si="77"/>
        <v>0</v>
      </c>
      <c r="CF22" s="43">
        <f t="shared" si="77"/>
        <v>0</v>
      </c>
      <c r="CG22" s="43">
        <f t="shared" si="77"/>
        <v>0</v>
      </c>
      <c r="CH22" s="43">
        <f t="shared" si="77"/>
        <v>0</v>
      </c>
      <c r="CI22" s="43">
        <f t="shared" si="77"/>
        <v>0</v>
      </c>
      <c r="CJ22" s="43">
        <f t="shared" si="77"/>
        <v>0</v>
      </c>
      <c r="CK22" s="43">
        <f t="shared" si="77"/>
        <v>0</v>
      </c>
      <c r="CL22" s="43">
        <f t="shared" si="77"/>
        <v>0</v>
      </c>
      <c r="CM22" s="43">
        <f t="shared" si="77"/>
        <v>0</v>
      </c>
      <c r="CN22" s="43">
        <f t="shared" si="77"/>
        <v>0</v>
      </c>
      <c r="CO22" s="43">
        <f t="shared" si="77"/>
        <v>0</v>
      </c>
      <c r="CP22" s="43">
        <f t="shared" si="77"/>
        <v>0</v>
      </c>
      <c r="CQ22" s="43">
        <f t="shared" si="61"/>
        <v>0</v>
      </c>
      <c r="CR22" s="64">
        <f t="shared" si="45"/>
        <v>0</v>
      </c>
      <c r="CT22" s="40">
        <v>39588</v>
      </c>
      <c r="CU22" s="71">
        <f>+CU$3-SUM(AS$4:AS22)</f>
        <v>126382569.60000014</v>
      </c>
      <c r="CV22" s="71">
        <f>+CV$3-SUM(AT$4:AT22)</f>
        <v>30265299.570000052</v>
      </c>
      <c r="CW22" s="71">
        <f>+CW$3-SUM(AU$4:AU22)</f>
        <v>40575456.559999943</v>
      </c>
      <c r="CX22" s="71">
        <f>+CX$3-SUM(AV$4:AV22)</f>
        <v>2596000000</v>
      </c>
      <c r="CY22" s="71">
        <f>+CY$3-SUM(AW$4:AW22)</f>
        <v>1698999999.9999998</v>
      </c>
      <c r="CZ22" s="71">
        <f>+CZ$3-SUM(AX$4:AX22)</f>
        <v>1038500000</v>
      </c>
      <c r="DA22" s="71">
        <f>+DA$3-SUM(AY$4:AY22)</f>
        <v>500000000</v>
      </c>
      <c r="DB22" s="71">
        <f>+DB$3-SUM(AZ$4:AZ22)</f>
        <v>84500000</v>
      </c>
      <c r="DC22" s="71">
        <f>+DC$3-SUM(BA$4:BA22)</f>
        <v>167000000</v>
      </c>
      <c r="DD22" s="71">
        <f>+DD$3-SUM(BB$4:BB22)</f>
        <v>23000000</v>
      </c>
      <c r="DE22" s="71">
        <f>+DE$3-SUM(BC$4:BC22)</f>
        <v>74500000</v>
      </c>
      <c r="DF22" s="71">
        <f>+DF$3-SUM(BD$4:BD22)</f>
        <v>91000000</v>
      </c>
      <c r="DG22" s="71">
        <f>+DG$3-SUM(BE$4:BE22)</f>
        <v>56000000</v>
      </c>
      <c r="DH22" s="71">
        <f>+DH$3-SUM(BF$4:BF22)</f>
        <v>70000000</v>
      </c>
      <c r="DI22" s="71">
        <f>+DI$3-SUM(BG$4:BG22)</f>
        <v>211000000.00000003</v>
      </c>
      <c r="DJ22" s="71">
        <f>+DJ$3-SUM(BH$4:BH22)</f>
        <v>20000000</v>
      </c>
    </row>
    <row r="23" spans="1:114">
      <c r="A23" s="75">
        <v>39619</v>
      </c>
      <c r="B23" s="76">
        <f t="shared" si="3"/>
        <v>126382569.60001652</v>
      </c>
      <c r="C23" s="76">
        <f t="shared" si="59"/>
        <v>30265299.562109217</v>
      </c>
      <c r="D23" s="76">
        <f t="shared" si="59"/>
        <v>40575456.555794775</v>
      </c>
      <c r="E23" s="76">
        <f t="shared" si="59"/>
        <v>2596000000</v>
      </c>
      <c r="F23" s="76">
        <f t="shared" si="59"/>
        <v>1698999999.9999998</v>
      </c>
      <c r="G23" s="76">
        <f t="shared" si="59"/>
        <v>1038500000</v>
      </c>
      <c r="H23" s="76">
        <f t="shared" si="59"/>
        <v>500000000</v>
      </c>
      <c r="I23" s="76">
        <f t="shared" si="59"/>
        <v>84500000</v>
      </c>
      <c r="J23" s="76">
        <f t="shared" si="59"/>
        <v>167000000</v>
      </c>
      <c r="K23" s="76">
        <f t="shared" si="59"/>
        <v>23000000</v>
      </c>
      <c r="L23" s="76">
        <f t="shared" si="59"/>
        <v>74500000</v>
      </c>
      <c r="M23" s="76">
        <f t="shared" si="59"/>
        <v>91000000</v>
      </c>
      <c r="N23" s="76">
        <f t="shared" si="59"/>
        <v>56000000</v>
      </c>
      <c r="O23" s="76">
        <f t="shared" si="59"/>
        <v>70000000</v>
      </c>
      <c r="P23" s="76">
        <f t="shared" si="59"/>
        <v>211000000.00000003</v>
      </c>
      <c r="Q23" s="76">
        <f t="shared" si="59"/>
        <v>20000000</v>
      </c>
      <c r="S23" s="40">
        <v>39619</v>
      </c>
      <c r="T23" s="82">
        <f t="shared" si="47"/>
        <v>0</v>
      </c>
      <c r="U23" s="82">
        <f t="shared" si="62"/>
        <v>0</v>
      </c>
      <c r="V23" s="82">
        <f t="shared" si="63"/>
        <v>0</v>
      </c>
      <c r="W23" s="82">
        <f t="shared" si="64"/>
        <v>0</v>
      </c>
      <c r="X23" s="82">
        <f t="shared" si="65"/>
        <v>0</v>
      </c>
      <c r="Y23" s="82">
        <f t="shared" si="66"/>
        <v>0</v>
      </c>
      <c r="Z23" s="82">
        <f t="shared" si="67"/>
        <v>0</v>
      </c>
      <c r="AA23" s="82">
        <f t="shared" si="68"/>
        <v>0</v>
      </c>
      <c r="AB23" s="82">
        <f t="shared" si="69"/>
        <v>0</v>
      </c>
      <c r="AC23" s="82">
        <f t="shared" si="70"/>
        <v>0</v>
      </c>
      <c r="AD23" s="82">
        <f t="shared" si="71"/>
        <v>0</v>
      </c>
      <c r="AE23" s="82">
        <f t="shared" si="72"/>
        <v>0</v>
      </c>
      <c r="AF23" s="82">
        <f t="shared" si="73"/>
        <v>0</v>
      </c>
      <c r="AG23" s="82">
        <f t="shared" si="74"/>
        <v>0</v>
      </c>
      <c r="AH23" s="82">
        <f t="shared" si="75"/>
        <v>0</v>
      </c>
      <c r="AI23" s="82">
        <f t="shared" si="76"/>
        <v>0</v>
      </c>
      <c r="AJ23" s="40">
        <v>39619</v>
      </c>
      <c r="AK23" s="187">
        <f t="shared" si="8"/>
        <v>6030723325.7179203</v>
      </c>
      <c r="AL23" s="43">
        <f t="shared" si="9"/>
        <v>5988840756.1179037</v>
      </c>
      <c r="AM23" s="43">
        <f t="shared" si="10"/>
        <v>6125575456.5557947</v>
      </c>
      <c r="AN23" s="43">
        <f t="shared" si="11"/>
        <v>6108000000</v>
      </c>
      <c r="AO23" s="43">
        <f t="shared" si="12"/>
        <v>24253139538.391617</v>
      </c>
      <c r="AR23" s="40">
        <v>39619</v>
      </c>
      <c r="AS23" s="63">
        <v>0</v>
      </c>
      <c r="AT23" s="63">
        <v>0</v>
      </c>
      <c r="AU23" s="63">
        <v>0</v>
      </c>
      <c r="AV23" s="63">
        <v>0</v>
      </c>
      <c r="AW23" s="63">
        <v>0</v>
      </c>
      <c r="AX23" s="63">
        <v>0</v>
      </c>
      <c r="AY23" s="63">
        <v>0</v>
      </c>
      <c r="AZ23" s="63">
        <v>0</v>
      </c>
      <c r="BA23" s="63">
        <v>0</v>
      </c>
      <c r="BB23" s="63">
        <v>0</v>
      </c>
      <c r="BC23" s="63">
        <v>0</v>
      </c>
      <c r="BD23" s="63">
        <v>0</v>
      </c>
      <c r="BE23" s="63">
        <v>0</v>
      </c>
      <c r="BF23" s="63">
        <v>0</v>
      </c>
      <c r="BG23" s="63">
        <v>0</v>
      </c>
      <c r="BH23" s="63">
        <v>0</v>
      </c>
      <c r="BJ23" s="40">
        <v>39619</v>
      </c>
      <c r="BK23" s="43">
        <f t="shared" si="13"/>
        <v>0</v>
      </c>
      <c r="BL23" s="43">
        <f t="shared" si="14"/>
        <v>0</v>
      </c>
      <c r="BM23" s="43">
        <f t="shared" si="15"/>
        <v>0</v>
      </c>
      <c r="BN23" s="43">
        <f t="shared" si="16"/>
        <v>0</v>
      </c>
      <c r="BO23" s="43">
        <f t="shared" si="17"/>
        <v>0</v>
      </c>
      <c r="BP23" s="43">
        <f t="shared" si="18"/>
        <v>0</v>
      </c>
      <c r="BQ23" s="43">
        <f t="shared" si="19"/>
        <v>0</v>
      </c>
      <c r="BR23" s="43">
        <f t="shared" si="20"/>
        <v>0</v>
      </c>
      <c r="BS23" s="43">
        <f t="shared" si="21"/>
        <v>0</v>
      </c>
      <c r="BT23" s="43">
        <f t="shared" si="22"/>
        <v>0</v>
      </c>
      <c r="BU23" s="43">
        <f t="shared" si="23"/>
        <v>0</v>
      </c>
      <c r="BV23" s="43">
        <f t="shared" si="24"/>
        <v>0</v>
      </c>
      <c r="BW23" s="43">
        <f t="shared" si="25"/>
        <v>0</v>
      </c>
      <c r="BX23" s="43">
        <f t="shared" si="26"/>
        <v>0</v>
      </c>
      <c r="BY23" s="43">
        <f t="shared" si="27"/>
        <v>0</v>
      </c>
      <c r="BZ23" s="43">
        <f t="shared" si="28"/>
        <v>0</v>
      </c>
      <c r="CA23" s="40">
        <v>39619</v>
      </c>
      <c r="CB23" s="43">
        <f t="shared" si="77"/>
        <v>0</v>
      </c>
      <c r="CC23" s="43">
        <f t="shared" si="77"/>
        <v>0</v>
      </c>
      <c r="CD23" s="43">
        <f t="shared" si="77"/>
        <v>0</v>
      </c>
      <c r="CE23" s="43">
        <f t="shared" si="77"/>
        <v>0</v>
      </c>
      <c r="CF23" s="43">
        <f t="shared" si="77"/>
        <v>0</v>
      </c>
      <c r="CG23" s="43">
        <f t="shared" si="77"/>
        <v>0</v>
      </c>
      <c r="CH23" s="43">
        <f t="shared" si="77"/>
        <v>0</v>
      </c>
      <c r="CI23" s="43">
        <f t="shared" si="77"/>
        <v>0</v>
      </c>
      <c r="CJ23" s="43">
        <f t="shared" si="77"/>
        <v>0</v>
      </c>
      <c r="CK23" s="43">
        <f t="shared" si="77"/>
        <v>0</v>
      </c>
      <c r="CL23" s="43">
        <f t="shared" si="77"/>
        <v>0</v>
      </c>
      <c r="CM23" s="43">
        <f t="shared" si="77"/>
        <v>0</v>
      </c>
      <c r="CN23" s="43">
        <f t="shared" si="77"/>
        <v>0</v>
      </c>
      <c r="CO23" s="43">
        <f t="shared" si="77"/>
        <v>0</v>
      </c>
      <c r="CP23" s="43">
        <f t="shared" si="77"/>
        <v>0</v>
      </c>
      <c r="CQ23" s="43">
        <f t="shared" si="61"/>
        <v>0</v>
      </c>
      <c r="CR23" s="64">
        <f t="shared" si="45"/>
        <v>0</v>
      </c>
      <c r="CT23" s="40">
        <v>39619</v>
      </c>
      <c r="CU23" s="71">
        <f>+CU$3-SUM(AS$4:AS23)</f>
        <v>126382569.60000014</v>
      </c>
      <c r="CV23" s="71">
        <f>+CV$3-SUM(AT$4:AT23)</f>
        <v>30265299.570000052</v>
      </c>
      <c r="CW23" s="71">
        <f>+CW$3-SUM(AU$4:AU23)</f>
        <v>40575456.559999943</v>
      </c>
      <c r="CX23" s="71">
        <f>+CX$3-SUM(AV$4:AV23)</f>
        <v>2596000000</v>
      </c>
      <c r="CY23" s="71">
        <f>+CY$3-SUM(AW$4:AW23)</f>
        <v>1698999999.9999998</v>
      </c>
      <c r="CZ23" s="71">
        <f>+CZ$3-SUM(AX$4:AX23)</f>
        <v>1038500000</v>
      </c>
      <c r="DA23" s="71">
        <f>+DA$3-SUM(AY$4:AY23)</f>
        <v>500000000</v>
      </c>
      <c r="DB23" s="71">
        <f>+DB$3-SUM(AZ$4:AZ23)</f>
        <v>84500000</v>
      </c>
      <c r="DC23" s="71">
        <f>+DC$3-SUM(BA$4:BA23)</f>
        <v>167000000</v>
      </c>
      <c r="DD23" s="71">
        <f>+DD$3-SUM(BB$4:BB23)</f>
        <v>23000000</v>
      </c>
      <c r="DE23" s="71">
        <f>+DE$3-SUM(BC$4:BC23)</f>
        <v>74500000</v>
      </c>
      <c r="DF23" s="71">
        <f>+DF$3-SUM(BD$4:BD23)</f>
        <v>91000000</v>
      </c>
      <c r="DG23" s="71">
        <f>+DG$3-SUM(BE$4:BE23)</f>
        <v>56000000</v>
      </c>
      <c r="DH23" s="71">
        <f>+DH$3-SUM(BF$4:BF23)</f>
        <v>70000000</v>
      </c>
      <c r="DI23" s="71">
        <f>+DI$3-SUM(BG$4:BG23)</f>
        <v>211000000.00000003</v>
      </c>
      <c r="DJ23" s="71">
        <f>+DJ$3-SUM(BH$4:BH23)</f>
        <v>20000000</v>
      </c>
    </row>
    <row r="24" spans="1:114">
      <c r="A24" s="75">
        <v>39649</v>
      </c>
      <c r="B24" s="76">
        <f t="shared" si="3"/>
        <v>126382569.60001652</v>
      </c>
      <c r="C24" s="76">
        <f t="shared" si="59"/>
        <v>30265299.562109217</v>
      </c>
      <c r="D24" s="76">
        <f t="shared" si="59"/>
        <v>40575456.555794775</v>
      </c>
      <c r="E24" s="76">
        <f t="shared" si="59"/>
        <v>2596000000</v>
      </c>
      <c r="F24" s="76">
        <f t="shared" si="59"/>
        <v>1698999999.9999998</v>
      </c>
      <c r="G24" s="76">
        <f t="shared" si="59"/>
        <v>1038500000</v>
      </c>
      <c r="H24" s="76">
        <f t="shared" si="59"/>
        <v>500000000</v>
      </c>
      <c r="I24" s="76">
        <f t="shared" si="59"/>
        <v>84500000</v>
      </c>
      <c r="J24" s="76">
        <f t="shared" si="59"/>
        <v>167000000</v>
      </c>
      <c r="K24" s="76">
        <f t="shared" si="59"/>
        <v>23000000</v>
      </c>
      <c r="L24" s="76">
        <f t="shared" si="59"/>
        <v>74500000</v>
      </c>
      <c r="M24" s="76">
        <f t="shared" si="59"/>
        <v>91000000</v>
      </c>
      <c r="N24" s="76">
        <f t="shared" si="59"/>
        <v>56000000</v>
      </c>
      <c r="O24" s="76">
        <f t="shared" si="59"/>
        <v>70000000</v>
      </c>
      <c r="P24" s="76">
        <f t="shared" si="59"/>
        <v>211000000.00000003</v>
      </c>
      <c r="Q24" s="76">
        <f t="shared" si="59"/>
        <v>20000000</v>
      </c>
      <c r="S24" s="40">
        <v>39649</v>
      </c>
      <c r="T24" s="82">
        <f t="shared" si="47"/>
        <v>0</v>
      </c>
      <c r="U24" s="82">
        <f t="shared" si="62"/>
        <v>0</v>
      </c>
      <c r="V24" s="82">
        <f t="shared" si="63"/>
        <v>0</v>
      </c>
      <c r="W24" s="82">
        <f t="shared" si="64"/>
        <v>0</v>
      </c>
      <c r="X24" s="82">
        <f t="shared" si="65"/>
        <v>0</v>
      </c>
      <c r="Y24" s="82">
        <f t="shared" si="66"/>
        <v>0</v>
      </c>
      <c r="Z24" s="82">
        <f t="shared" si="67"/>
        <v>0</v>
      </c>
      <c r="AA24" s="82">
        <f t="shared" si="68"/>
        <v>0</v>
      </c>
      <c r="AB24" s="82">
        <f t="shared" si="69"/>
        <v>0</v>
      </c>
      <c r="AC24" s="82">
        <f t="shared" si="70"/>
        <v>0</v>
      </c>
      <c r="AD24" s="82">
        <f t="shared" si="71"/>
        <v>0</v>
      </c>
      <c r="AE24" s="82">
        <f t="shared" si="72"/>
        <v>0</v>
      </c>
      <c r="AF24" s="82">
        <f t="shared" si="73"/>
        <v>0</v>
      </c>
      <c r="AG24" s="82">
        <f t="shared" si="74"/>
        <v>0</v>
      </c>
      <c r="AH24" s="82">
        <f t="shared" si="75"/>
        <v>0</v>
      </c>
      <c r="AI24" s="82">
        <f t="shared" si="76"/>
        <v>0</v>
      </c>
      <c r="AJ24" s="40">
        <v>39649</v>
      </c>
      <c r="AK24" s="187">
        <f t="shared" si="8"/>
        <v>6030723325.7179203</v>
      </c>
      <c r="AL24" s="43">
        <f t="shared" si="9"/>
        <v>5988840756.1179037</v>
      </c>
      <c r="AM24" s="43">
        <f t="shared" si="10"/>
        <v>6125575456.5557947</v>
      </c>
      <c r="AN24" s="43">
        <f t="shared" si="11"/>
        <v>6108000000</v>
      </c>
      <c r="AO24" s="43">
        <f t="shared" si="12"/>
        <v>24253139538.391617</v>
      </c>
      <c r="AR24" s="40">
        <v>39649</v>
      </c>
      <c r="AS24" s="63">
        <v>0</v>
      </c>
      <c r="AT24" s="63">
        <v>0</v>
      </c>
      <c r="AU24" s="63">
        <v>0</v>
      </c>
      <c r="AV24" s="63">
        <v>0</v>
      </c>
      <c r="AW24" s="63">
        <v>0</v>
      </c>
      <c r="AX24" s="63">
        <v>0</v>
      </c>
      <c r="AY24" s="63">
        <v>0</v>
      </c>
      <c r="AZ24" s="63">
        <v>0</v>
      </c>
      <c r="BA24" s="63">
        <v>0</v>
      </c>
      <c r="BB24" s="63">
        <v>0</v>
      </c>
      <c r="BC24" s="63">
        <v>0</v>
      </c>
      <c r="BD24" s="63">
        <v>0</v>
      </c>
      <c r="BE24" s="63">
        <v>0</v>
      </c>
      <c r="BF24" s="63">
        <v>0</v>
      </c>
      <c r="BG24" s="63">
        <v>0</v>
      </c>
      <c r="BH24" s="63">
        <v>0</v>
      </c>
      <c r="BJ24" s="40">
        <v>39649</v>
      </c>
      <c r="BK24" s="43">
        <f t="shared" si="13"/>
        <v>0</v>
      </c>
      <c r="BL24" s="43">
        <f t="shared" si="14"/>
        <v>0</v>
      </c>
      <c r="BM24" s="43">
        <f t="shared" si="15"/>
        <v>0</v>
      </c>
      <c r="BN24" s="43">
        <f t="shared" si="16"/>
        <v>0</v>
      </c>
      <c r="BO24" s="43">
        <f t="shared" si="17"/>
        <v>0</v>
      </c>
      <c r="BP24" s="43">
        <f t="shared" si="18"/>
        <v>0</v>
      </c>
      <c r="BQ24" s="43">
        <f t="shared" si="19"/>
        <v>0</v>
      </c>
      <c r="BR24" s="43">
        <f t="shared" si="20"/>
        <v>0</v>
      </c>
      <c r="BS24" s="43">
        <f t="shared" si="21"/>
        <v>0</v>
      </c>
      <c r="BT24" s="43">
        <f t="shared" si="22"/>
        <v>0</v>
      </c>
      <c r="BU24" s="43">
        <f t="shared" si="23"/>
        <v>0</v>
      </c>
      <c r="BV24" s="43">
        <f t="shared" si="24"/>
        <v>0</v>
      </c>
      <c r="BW24" s="43">
        <f t="shared" si="25"/>
        <v>0</v>
      </c>
      <c r="BX24" s="43">
        <f t="shared" si="26"/>
        <v>0</v>
      </c>
      <c r="BY24" s="43">
        <f t="shared" si="27"/>
        <v>0</v>
      </c>
      <c r="BZ24" s="43">
        <f t="shared" si="28"/>
        <v>0</v>
      </c>
      <c r="CA24" s="40">
        <v>39649</v>
      </c>
      <c r="CB24" s="43">
        <f t="shared" si="77"/>
        <v>0</v>
      </c>
      <c r="CC24" s="43">
        <f t="shared" si="77"/>
        <v>0</v>
      </c>
      <c r="CD24" s="43">
        <f t="shared" si="77"/>
        <v>0</v>
      </c>
      <c r="CE24" s="43">
        <f t="shared" si="77"/>
        <v>0</v>
      </c>
      <c r="CF24" s="43">
        <f t="shared" si="77"/>
        <v>0</v>
      </c>
      <c r="CG24" s="43">
        <f t="shared" si="77"/>
        <v>0</v>
      </c>
      <c r="CH24" s="43">
        <f t="shared" si="77"/>
        <v>0</v>
      </c>
      <c r="CI24" s="43">
        <f t="shared" si="77"/>
        <v>0</v>
      </c>
      <c r="CJ24" s="43">
        <f t="shared" si="77"/>
        <v>0</v>
      </c>
      <c r="CK24" s="43">
        <f t="shared" si="77"/>
        <v>0</v>
      </c>
      <c r="CL24" s="43">
        <f t="shared" si="77"/>
        <v>0</v>
      </c>
      <c r="CM24" s="43">
        <f t="shared" si="77"/>
        <v>0</v>
      </c>
      <c r="CN24" s="43">
        <f t="shared" si="77"/>
        <v>0</v>
      </c>
      <c r="CO24" s="43">
        <f t="shared" si="77"/>
        <v>0</v>
      </c>
      <c r="CP24" s="43">
        <f t="shared" si="77"/>
        <v>0</v>
      </c>
      <c r="CQ24" s="43">
        <f t="shared" si="61"/>
        <v>0</v>
      </c>
      <c r="CR24" s="64">
        <f t="shared" si="45"/>
        <v>0</v>
      </c>
      <c r="CT24" s="40">
        <v>39649</v>
      </c>
      <c r="CU24" s="71">
        <f>+CU$3-SUM(AS$4:AS24)</f>
        <v>126382569.60000014</v>
      </c>
      <c r="CV24" s="71">
        <f>+CV$3-SUM(AT$4:AT24)</f>
        <v>30265299.570000052</v>
      </c>
      <c r="CW24" s="71">
        <f>+CW$3-SUM(AU$4:AU24)</f>
        <v>40575456.559999943</v>
      </c>
      <c r="CX24" s="71">
        <f>+CX$3-SUM(AV$4:AV24)</f>
        <v>2596000000</v>
      </c>
      <c r="CY24" s="71">
        <f>+CY$3-SUM(AW$4:AW24)</f>
        <v>1698999999.9999998</v>
      </c>
      <c r="CZ24" s="71">
        <f>+CZ$3-SUM(AX$4:AX24)</f>
        <v>1038500000</v>
      </c>
      <c r="DA24" s="71">
        <f>+DA$3-SUM(AY$4:AY24)</f>
        <v>500000000</v>
      </c>
      <c r="DB24" s="71">
        <f>+DB$3-SUM(AZ$4:AZ24)</f>
        <v>84500000</v>
      </c>
      <c r="DC24" s="71">
        <f>+DC$3-SUM(BA$4:BA24)</f>
        <v>167000000</v>
      </c>
      <c r="DD24" s="71">
        <f>+DD$3-SUM(BB$4:BB24)</f>
        <v>23000000</v>
      </c>
      <c r="DE24" s="71">
        <f>+DE$3-SUM(BC$4:BC24)</f>
        <v>74500000</v>
      </c>
      <c r="DF24" s="71">
        <f>+DF$3-SUM(BD$4:BD24)</f>
        <v>91000000</v>
      </c>
      <c r="DG24" s="71">
        <f>+DG$3-SUM(BE$4:BE24)</f>
        <v>56000000</v>
      </c>
      <c r="DH24" s="71">
        <f>+DH$3-SUM(BF$4:BF24)</f>
        <v>70000000</v>
      </c>
      <c r="DI24" s="71">
        <f>+DI$3-SUM(BG$4:BG24)</f>
        <v>211000000.00000003</v>
      </c>
      <c r="DJ24" s="71">
        <f>+DJ$3-SUM(BH$4:BH24)</f>
        <v>20000000</v>
      </c>
    </row>
    <row r="25" spans="1:114">
      <c r="A25" s="75">
        <v>39680</v>
      </c>
      <c r="B25" s="76">
        <f t="shared" si="3"/>
        <v>0</v>
      </c>
      <c r="C25" s="76">
        <f t="shared" si="59"/>
        <v>0</v>
      </c>
      <c r="D25" s="76">
        <f t="shared" si="59"/>
        <v>0</v>
      </c>
      <c r="E25" s="76">
        <f t="shared" si="59"/>
        <v>2562945846.7517662</v>
      </c>
      <c r="F25" s="76">
        <f t="shared" si="59"/>
        <v>1698999999.9999998</v>
      </c>
      <c r="G25" s="76">
        <f t="shared" si="59"/>
        <v>1038500000</v>
      </c>
      <c r="H25" s="76">
        <f t="shared" si="59"/>
        <v>500000000</v>
      </c>
      <c r="I25" s="76">
        <f t="shared" si="59"/>
        <v>0</v>
      </c>
      <c r="J25" s="76">
        <f t="shared" si="59"/>
        <v>167000000</v>
      </c>
      <c r="K25" s="76">
        <f t="shared" si="59"/>
        <v>23000000</v>
      </c>
      <c r="L25" s="76">
        <f t="shared" si="59"/>
        <v>0</v>
      </c>
      <c r="M25" s="76">
        <f t="shared" si="59"/>
        <v>91000000</v>
      </c>
      <c r="N25" s="76">
        <f t="shared" si="59"/>
        <v>56000000</v>
      </c>
      <c r="O25" s="76">
        <f t="shared" si="59"/>
        <v>70000000</v>
      </c>
      <c r="P25" s="76">
        <f t="shared" si="59"/>
        <v>211000000.00000003</v>
      </c>
      <c r="Q25" s="76">
        <f t="shared" si="59"/>
        <v>20000000</v>
      </c>
      <c r="S25" s="40">
        <v>39680</v>
      </c>
      <c r="T25" s="82">
        <f t="shared" si="47"/>
        <v>126382569.59999999</v>
      </c>
      <c r="U25" s="82">
        <f t="shared" si="62"/>
        <v>30265299.559999999</v>
      </c>
      <c r="V25" s="82">
        <f t="shared" si="63"/>
        <v>40575456.560000002</v>
      </c>
      <c r="W25" s="82">
        <f t="shared" si="64"/>
        <v>33054153.25</v>
      </c>
      <c r="X25" s="82">
        <f t="shared" si="65"/>
        <v>0</v>
      </c>
      <c r="Y25" s="82">
        <f t="shared" si="66"/>
        <v>0</v>
      </c>
      <c r="Z25" s="82">
        <f t="shared" si="67"/>
        <v>0</v>
      </c>
      <c r="AA25" s="82">
        <f t="shared" si="68"/>
        <v>84500000</v>
      </c>
      <c r="AB25" s="82">
        <f t="shared" si="69"/>
        <v>0</v>
      </c>
      <c r="AC25" s="82">
        <f t="shared" si="70"/>
        <v>0</v>
      </c>
      <c r="AD25" s="82">
        <f t="shared" si="71"/>
        <v>74500000</v>
      </c>
      <c r="AE25" s="82">
        <f t="shared" si="72"/>
        <v>0</v>
      </c>
      <c r="AF25" s="82">
        <f t="shared" si="73"/>
        <v>0</v>
      </c>
      <c r="AG25" s="82">
        <f t="shared" si="74"/>
        <v>0</v>
      </c>
      <c r="AH25" s="82">
        <f t="shared" si="75"/>
        <v>0</v>
      </c>
      <c r="AI25" s="82">
        <f t="shared" si="76"/>
        <v>0</v>
      </c>
      <c r="AJ25" s="40">
        <v>39680</v>
      </c>
      <c r="AK25" s="187">
        <f t="shared" si="8"/>
        <v>5800445846.7517662</v>
      </c>
      <c r="AL25" s="43">
        <f t="shared" si="9"/>
        <v>5800445846.7517662</v>
      </c>
      <c r="AM25" s="43">
        <f t="shared" si="10"/>
        <v>5967445846.7517662</v>
      </c>
      <c r="AN25" s="43">
        <f t="shared" si="11"/>
        <v>5990445846.7517662</v>
      </c>
      <c r="AO25" s="43">
        <f t="shared" si="12"/>
        <v>23558783387.007065</v>
      </c>
      <c r="AR25" s="40">
        <v>39680</v>
      </c>
      <c r="AS25" s="85">
        <v>126382569.59999999</v>
      </c>
      <c r="AT25" s="85">
        <v>30265299.559999999</v>
      </c>
      <c r="AU25" s="85">
        <v>40575456.560000002</v>
      </c>
      <c r="AV25" s="85">
        <v>33054153.25</v>
      </c>
      <c r="AW25" s="63">
        <v>0</v>
      </c>
      <c r="AX25" s="63">
        <v>0</v>
      </c>
      <c r="AY25" s="63">
        <v>0</v>
      </c>
      <c r="AZ25" s="63">
        <v>84500000</v>
      </c>
      <c r="BA25" s="63">
        <v>0</v>
      </c>
      <c r="BB25" s="63">
        <v>0</v>
      </c>
      <c r="BC25" s="63">
        <v>74500000</v>
      </c>
      <c r="BD25" s="63">
        <v>0</v>
      </c>
      <c r="BE25" s="63">
        <v>0</v>
      </c>
      <c r="BF25" s="63">
        <v>0</v>
      </c>
      <c r="BG25" s="63">
        <v>0</v>
      </c>
      <c r="BH25" s="63">
        <v>0</v>
      </c>
      <c r="BJ25" s="40">
        <v>39680</v>
      </c>
      <c r="BK25" s="43">
        <f t="shared" si="13"/>
        <v>0</v>
      </c>
      <c r="BL25" s="43">
        <f t="shared" si="14"/>
        <v>0</v>
      </c>
      <c r="BM25" s="43">
        <f t="shared" si="15"/>
        <v>0</v>
      </c>
      <c r="BN25" s="43">
        <f t="shared" si="16"/>
        <v>0</v>
      </c>
      <c r="BO25" s="43">
        <f t="shared" si="17"/>
        <v>0</v>
      </c>
      <c r="BP25" s="43">
        <f t="shared" si="18"/>
        <v>0</v>
      </c>
      <c r="BQ25" s="43">
        <f t="shared" si="19"/>
        <v>0</v>
      </c>
      <c r="BR25" s="43">
        <f t="shared" si="20"/>
        <v>0</v>
      </c>
      <c r="BS25" s="43">
        <f t="shared" si="21"/>
        <v>0</v>
      </c>
      <c r="BT25" s="43">
        <f t="shared" si="22"/>
        <v>0</v>
      </c>
      <c r="BU25" s="43">
        <f t="shared" si="23"/>
        <v>0</v>
      </c>
      <c r="BV25" s="43">
        <f t="shared" si="24"/>
        <v>0</v>
      </c>
      <c r="BW25" s="43">
        <f t="shared" si="25"/>
        <v>0</v>
      </c>
      <c r="BX25" s="43">
        <f t="shared" si="26"/>
        <v>0</v>
      </c>
      <c r="BY25" s="43">
        <f t="shared" si="27"/>
        <v>0</v>
      </c>
      <c r="BZ25" s="43">
        <f t="shared" si="28"/>
        <v>0</v>
      </c>
      <c r="CA25" s="40">
        <v>39680</v>
      </c>
      <c r="CB25" s="43">
        <f t="shared" si="77"/>
        <v>0</v>
      </c>
      <c r="CC25" s="43">
        <f t="shared" si="77"/>
        <v>0</v>
      </c>
      <c r="CD25" s="43">
        <f t="shared" si="77"/>
        <v>0</v>
      </c>
      <c r="CE25" s="43">
        <f t="shared" si="77"/>
        <v>0</v>
      </c>
      <c r="CF25" s="43">
        <f t="shared" si="77"/>
        <v>0</v>
      </c>
      <c r="CG25" s="43">
        <f t="shared" si="77"/>
        <v>0</v>
      </c>
      <c r="CH25" s="43">
        <f t="shared" si="77"/>
        <v>0</v>
      </c>
      <c r="CI25" s="43">
        <f t="shared" si="77"/>
        <v>0</v>
      </c>
      <c r="CJ25" s="43">
        <f t="shared" si="77"/>
        <v>0</v>
      </c>
      <c r="CK25" s="43">
        <f t="shared" si="77"/>
        <v>0</v>
      </c>
      <c r="CL25" s="43">
        <f t="shared" si="77"/>
        <v>0</v>
      </c>
      <c r="CM25" s="43">
        <f t="shared" si="77"/>
        <v>0</v>
      </c>
      <c r="CN25" s="43">
        <f t="shared" si="77"/>
        <v>0</v>
      </c>
      <c r="CO25" s="43">
        <f t="shared" si="77"/>
        <v>0</v>
      </c>
      <c r="CP25" s="43">
        <f t="shared" si="77"/>
        <v>0</v>
      </c>
      <c r="CQ25" s="43">
        <f t="shared" si="61"/>
        <v>0</v>
      </c>
      <c r="CR25" s="64">
        <f t="shared" si="45"/>
        <v>0</v>
      </c>
      <c r="CT25" s="40">
        <v>39680</v>
      </c>
      <c r="CU25" s="71">
        <f>+CU$3-SUM(AS$4:AS25)</f>
        <v>0</v>
      </c>
      <c r="CV25" s="71">
        <f>+CV$3-SUM(AT$4:AT25)</f>
        <v>1.0000050067901611E-2</v>
      </c>
      <c r="CW25" s="71">
        <f>+CW$3-SUM(AU$4:AU25)</f>
        <v>0</v>
      </c>
      <c r="CX25" s="71">
        <f>+CX$3-SUM(AV$4:AV25)</f>
        <v>2562945846.75</v>
      </c>
      <c r="CY25" s="71">
        <f>+CY$3-SUM(AW$4:AW25)</f>
        <v>1698999999.9999998</v>
      </c>
      <c r="CZ25" s="71">
        <f>+CZ$3-SUM(AX$4:AX25)</f>
        <v>1038500000</v>
      </c>
      <c r="DA25" s="71">
        <f>+DA$3-SUM(AY$4:AY25)</f>
        <v>500000000</v>
      </c>
      <c r="DB25" s="71">
        <f>+DB$3-SUM(AZ$4:AZ25)</f>
        <v>0</v>
      </c>
      <c r="DC25" s="71">
        <f>+DC$3-SUM(BA$4:BA25)</f>
        <v>167000000</v>
      </c>
      <c r="DD25" s="71">
        <f>+DD$3-SUM(BB$4:BB25)</f>
        <v>23000000</v>
      </c>
      <c r="DE25" s="71">
        <f>+DE$3-SUM(BC$4:BC25)</f>
        <v>0</v>
      </c>
      <c r="DF25" s="71">
        <f>+DF$3-SUM(BD$4:BD25)</f>
        <v>91000000</v>
      </c>
      <c r="DG25" s="71">
        <f>+DG$3-SUM(BE$4:BE25)</f>
        <v>56000000</v>
      </c>
      <c r="DH25" s="71">
        <f>+DH$3-SUM(BF$4:BF25)</f>
        <v>70000000</v>
      </c>
      <c r="DI25" s="71">
        <f>+DI$3-SUM(BG$4:BG25)</f>
        <v>211000000.00000003</v>
      </c>
      <c r="DJ25" s="71">
        <f>+DJ$3-SUM(BH$4:BH25)</f>
        <v>20000000</v>
      </c>
    </row>
    <row r="26" spans="1:114">
      <c r="A26" s="75">
        <v>39711</v>
      </c>
      <c r="B26" s="76">
        <f t="shared" si="3"/>
        <v>0</v>
      </c>
      <c r="C26" s="76">
        <f t="shared" si="59"/>
        <v>0</v>
      </c>
      <c r="D26" s="76">
        <f t="shared" si="59"/>
        <v>0</v>
      </c>
      <c r="E26" s="76">
        <f t="shared" si="59"/>
        <v>2562945846.7517662</v>
      </c>
      <c r="F26" s="76">
        <f t="shared" si="59"/>
        <v>1698999999.9999998</v>
      </c>
      <c r="G26" s="76">
        <f t="shared" si="59"/>
        <v>1038500000</v>
      </c>
      <c r="H26" s="76">
        <f t="shared" si="59"/>
        <v>500000000</v>
      </c>
      <c r="I26" s="76">
        <f t="shared" si="59"/>
        <v>0</v>
      </c>
      <c r="J26" s="76">
        <f t="shared" si="59"/>
        <v>167000000</v>
      </c>
      <c r="K26" s="76">
        <f t="shared" si="59"/>
        <v>23000000</v>
      </c>
      <c r="L26" s="76">
        <f t="shared" si="59"/>
        <v>0</v>
      </c>
      <c r="M26" s="76">
        <f t="shared" si="59"/>
        <v>91000000</v>
      </c>
      <c r="N26" s="76">
        <f t="shared" si="59"/>
        <v>56000000</v>
      </c>
      <c r="O26" s="76">
        <f t="shared" si="59"/>
        <v>70000000</v>
      </c>
      <c r="P26" s="76">
        <f t="shared" si="59"/>
        <v>211000000.00000003</v>
      </c>
      <c r="Q26" s="76">
        <f t="shared" si="59"/>
        <v>20000000</v>
      </c>
      <c r="S26" s="40">
        <v>39711</v>
      </c>
      <c r="T26" s="82">
        <f t="shared" si="47"/>
        <v>0</v>
      </c>
      <c r="U26" s="82">
        <f t="shared" si="62"/>
        <v>0</v>
      </c>
      <c r="V26" s="82">
        <f t="shared" si="63"/>
        <v>0</v>
      </c>
      <c r="W26" s="82">
        <f t="shared" si="64"/>
        <v>0</v>
      </c>
      <c r="X26" s="82">
        <f t="shared" si="65"/>
        <v>0</v>
      </c>
      <c r="Y26" s="82">
        <f t="shared" si="66"/>
        <v>0</v>
      </c>
      <c r="Z26" s="82">
        <f t="shared" si="67"/>
        <v>0</v>
      </c>
      <c r="AA26" s="82">
        <f t="shared" si="68"/>
        <v>0</v>
      </c>
      <c r="AB26" s="82">
        <f t="shared" si="69"/>
        <v>0</v>
      </c>
      <c r="AC26" s="82">
        <f t="shared" si="70"/>
        <v>0</v>
      </c>
      <c r="AD26" s="82">
        <f t="shared" si="71"/>
        <v>0</v>
      </c>
      <c r="AE26" s="82">
        <f t="shared" si="72"/>
        <v>0</v>
      </c>
      <c r="AF26" s="82">
        <f t="shared" si="73"/>
        <v>0</v>
      </c>
      <c r="AG26" s="82">
        <f t="shared" si="74"/>
        <v>0</v>
      </c>
      <c r="AH26" s="82">
        <f t="shared" si="75"/>
        <v>0</v>
      </c>
      <c r="AI26" s="82">
        <f t="shared" si="76"/>
        <v>0</v>
      </c>
      <c r="AJ26" s="40">
        <v>39711</v>
      </c>
      <c r="AK26" s="187">
        <f t="shared" si="8"/>
        <v>5800445846.7517662</v>
      </c>
      <c r="AL26" s="43">
        <f t="shared" si="9"/>
        <v>5800445846.7517662</v>
      </c>
      <c r="AM26" s="43">
        <f t="shared" si="10"/>
        <v>5967445846.7517662</v>
      </c>
      <c r="AN26" s="43">
        <f t="shared" si="11"/>
        <v>5990445846.7517662</v>
      </c>
      <c r="AO26" s="43">
        <f t="shared" si="12"/>
        <v>23558783387.007065</v>
      </c>
      <c r="AR26" s="40">
        <v>39711</v>
      </c>
      <c r="AS26" s="63">
        <v>0</v>
      </c>
      <c r="AT26" s="63">
        <v>0</v>
      </c>
      <c r="AU26" s="63">
        <v>0</v>
      </c>
      <c r="AV26" s="63">
        <v>0</v>
      </c>
      <c r="AW26" s="63">
        <v>0</v>
      </c>
      <c r="AX26" s="63">
        <v>0</v>
      </c>
      <c r="AY26" s="63">
        <v>0</v>
      </c>
      <c r="AZ26" s="63">
        <v>0</v>
      </c>
      <c r="BA26" s="63">
        <v>0</v>
      </c>
      <c r="BB26" s="63">
        <v>0</v>
      </c>
      <c r="BC26" s="63">
        <v>0</v>
      </c>
      <c r="BD26" s="63">
        <v>0</v>
      </c>
      <c r="BE26" s="63">
        <v>0</v>
      </c>
      <c r="BF26" s="63">
        <v>0</v>
      </c>
      <c r="BG26" s="63">
        <v>0</v>
      </c>
      <c r="BH26" s="63">
        <v>0</v>
      </c>
      <c r="BJ26" s="40">
        <v>39711</v>
      </c>
      <c r="BK26" s="43">
        <f t="shared" si="13"/>
        <v>0</v>
      </c>
      <c r="BL26" s="43">
        <f t="shared" si="14"/>
        <v>0</v>
      </c>
      <c r="BM26" s="43">
        <f t="shared" si="15"/>
        <v>0</v>
      </c>
      <c r="BN26" s="43">
        <f t="shared" si="16"/>
        <v>0</v>
      </c>
      <c r="BO26" s="43">
        <f t="shared" si="17"/>
        <v>0</v>
      </c>
      <c r="BP26" s="43">
        <f t="shared" si="18"/>
        <v>0</v>
      </c>
      <c r="BQ26" s="43">
        <f t="shared" si="19"/>
        <v>0</v>
      </c>
      <c r="BR26" s="43">
        <f t="shared" si="20"/>
        <v>0</v>
      </c>
      <c r="BS26" s="43">
        <f t="shared" si="21"/>
        <v>0</v>
      </c>
      <c r="BT26" s="43">
        <f t="shared" si="22"/>
        <v>0</v>
      </c>
      <c r="BU26" s="43">
        <f t="shared" si="23"/>
        <v>0</v>
      </c>
      <c r="BV26" s="43">
        <f t="shared" si="24"/>
        <v>0</v>
      </c>
      <c r="BW26" s="43">
        <f t="shared" si="25"/>
        <v>0</v>
      </c>
      <c r="BX26" s="43">
        <f t="shared" si="26"/>
        <v>0</v>
      </c>
      <c r="BY26" s="43">
        <f t="shared" si="27"/>
        <v>0</v>
      </c>
      <c r="BZ26" s="43">
        <f t="shared" si="28"/>
        <v>0</v>
      </c>
      <c r="CA26" s="40">
        <v>39711</v>
      </c>
      <c r="CB26" s="43">
        <f t="shared" si="77"/>
        <v>0</v>
      </c>
      <c r="CC26" s="43">
        <f t="shared" si="77"/>
        <v>0</v>
      </c>
      <c r="CD26" s="43">
        <f t="shared" si="77"/>
        <v>0</v>
      </c>
      <c r="CE26" s="43">
        <f t="shared" si="77"/>
        <v>0</v>
      </c>
      <c r="CF26" s="43">
        <f t="shared" si="77"/>
        <v>0</v>
      </c>
      <c r="CG26" s="43">
        <f t="shared" si="77"/>
        <v>0</v>
      </c>
      <c r="CH26" s="43">
        <f t="shared" si="77"/>
        <v>0</v>
      </c>
      <c r="CI26" s="43">
        <f t="shared" si="77"/>
        <v>0</v>
      </c>
      <c r="CJ26" s="43">
        <f t="shared" si="77"/>
        <v>0</v>
      </c>
      <c r="CK26" s="43">
        <f t="shared" si="77"/>
        <v>0</v>
      </c>
      <c r="CL26" s="43">
        <f t="shared" si="77"/>
        <v>0</v>
      </c>
      <c r="CM26" s="43">
        <f t="shared" si="77"/>
        <v>0</v>
      </c>
      <c r="CN26" s="43">
        <f t="shared" si="77"/>
        <v>0</v>
      </c>
      <c r="CO26" s="43">
        <f t="shared" si="77"/>
        <v>0</v>
      </c>
      <c r="CP26" s="43">
        <f t="shared" si="77"/>
        <v>0</v>
      </c>
      <c r="CQ26" s="43">
        <f t="shared" si="61"/>
        <v>0</v>
      </c>
      <c r="CR26" s="64">
        <f t="shared" si="45"/>
        <v>0</v>
      </c>
      <c r="CT26" s="40">
        <v>39711</v>
      </c>
      <c r="CU26" s="71">
        <f>+CU$3-SUM(AS$4:AS26)</f>
        <v>0</v>
      </c>
      <c r="CV26" s="71">
        <f>+CV$3-SUM(AT$4:AT26)</f>
        <v>1.0000050067901611E-2</v>
      </c>
      <c r="CW26" s="71">
        <f>+CW$3-SUM(AU$4:AU26)</f>
        <v>0</v>
      </c>
      <c r="CX26" s="71">
        <f>+CX$3-SUM(AV$4:AV26)</f>
        <v>2562945846.75</v>
      </c>
      <c r="CY26" s="71">
        <f>+CY$3-SUM(AW$4:AW26)</f>
        <v>1698999999.9999998</v>
      </c>
      <c r="CZ26" s="71">
        <f>+CZ$3-SUM(AX$4:AX26)</f>
        <v>1038500000</v>
      </c>
      <c r="DA26" s="71">
        <f>+DA$3-SUM(AY$4:AY26)</f>
        <v>500000000</v>
      </c>
      <c r="DB26" s="71">
        <f>+DB$3-SUM(AZ$4:AZ26)</f>
        <v>0</v>
      </c>
      <c r="DC26" s="71">
        <f>+DC$3-SUM(BA$4:BA26)</f>
        <v>167000000</v>
      </c>
      <c r="DD26" s="71">
        <f>+DD$3-SUM(BB$4:BB26)</f>
        <v>23000000</v>
      </c>
      <c r="DE26" s="71">
        <f>+DE$3-SUM(BC$4:BC26)</f>
        <v>0</v>
      </c>
      <c r="DF26" s="71">
        <f>+DF$3-SUM(BD$4:BD26)</f>
        <v>91000000</v>
      </c>
      <c r="DG26" s="71">
        <f>+DG$3-SUM(BE$4:BE26)</f>
        <v>56000000</v>
      </c>
      <c r="DH26" s="71">
        <f>+DH$3-SUM(BF$4:BF26)</f>
        <v>70000000</v>
      </c>
      <c r="DI26" s="71">
        <f>+DI$3-SUM(BG$4:BG26)</f>
        <v>211000000.00000003</v>
      </c>
      <c r="DJ26" s="71">
        <f>+DJ$3-SUM(BH$4:BH26)</f>
        <v>20000000</v>
      </c>
    </row>
    <row r="27" spans="1:114">
      <c r="A27" s="75">
        <v>39741</v>
      </c>
      <c r="B27" s="76">
        <f t="shared" si="3"/>
        <v>0</v>
      </c>
      <c r="C27" s="76">
        <f t="shared" si="59"/>
        <v>0</v>
      </c>
      <c r="D27" s="76">
        <f t="shared" si="59"/>
        <v>0</v>
      </c>
      <c r="E27" s="76">
        <f t="shared" si="59"/>
        <v>2562945846.7517662</v>
      </c>
      <c r="F27" s="76">
        <f t="shared" si="59"/>
        <v>1698999999.9999998</v>
      </c>
      <c r="G27" s="76">
        <f t="shared" si="59"/>
        <v>1038500000</v>
      </c>
      <c r="H27" s="76">
        <f t="shared" si="59"/>
        <v>500000000</v>
      </c>
      <c r="I27" s="76">
        <f t="shared" si="59"/>
        <v>0</v>
      </c>
      <c r="J27" s="76">
        <f t="shared" si="59"/>
        <v>167000000</v>
      </c>
      <c r="K27" s="76">
        <f t="shared" si="59"/>
        <v>23000000</v>
      </c>
      <c r="L27" s="76">
        <f t="shared" si="59"/>
        <v>0</v>
      </c>
      <c r="M27" s="76">
        <f t="shared" si="59"/>
        <v>91000000</v>
      </c>
      <c r="N27" s="76">
        <f t="shared" si="59"/>
        <v>56000000</v>
      </c>
      <c r="O27" s="76">
        <f t="shared" si="59"/>
        <v>70000000</v>
      </c>
      <c r="P27" s="76">
        <f t="shared" si="59"/>
        <v>211000000.00000003</v>
      </c>
      <c r="Q27" s="76">
        <f t="shared" si="59"/>
        <v>20000000</v>
      </c>
      <c r="S27" s="40">
        <v>39741</v>
      </c>
      <c r="T27" s="82">
        <f t="shared" si="47"/>
        <v>0</v>
      </c>
      <c r="U27" s="82">
        <f t="shared" si="62"/>
        <v>0</v>
      </c>
      <c r="V27" s="82">
        <f t="shared" si="63"/>
        <v>0</v>
      </c>
      <c r="W27" s="82">
        <f t="shared" si="64"/>
        <v>0</v>
      </c>
      <c r="X27" s="82">
        <f t="shared" si="65"/>
        <v>0</v>
      </c>
      <c r="Y27" s="82">
        <f t="shared" si="66"/>
        <v>0</v>
      </c>
      <c r="Z27" s="82">
        <f t="shared" si="67"/>
        <v>0</v>
      </c>
      <c r="AA27" s="82">
        <f t="shared" si="68"/>
        <v>0</v>
      </c>
      <c r="AB27" s="82">
        <f t="shared" si="69"/>
        <v>0</v>
      </c>
      <c r="AC27" s="82">
        <f t="shared" si="70"/>
        <v>0</v>
      </c>
      <c r="AD27" s="82">
        <f t="shared" si="71"/>
        <v>0</v>
      </c>
      <c r="AE27" s="82">
        <f t="shared" si="72"/>
        <v>0</v>
      </c>
      <c r="AF27" s="82">
        <f t="shared" si="73"/>
        <v>0</v>
      </c>
      <c r="AG27" s="82">
        <f t="shared" si="74"/>
        <v>0</v>
      </c>
      <c r="AH27" s="82">
        <f t="shared" si="75"/>
        <v>0</v>
      </c>
      <c r="AI27" s="82">
        <f t="shared" si="76"/>
        <v>0</v>
      </c>
      <c r="AJ27" s="40">
        <v>39741</v>
      </c>
      <c r="AK27" s="187">
        <f t="shared" si="8"/>
        <v>5800445846.7517662</v>
      </c>
      <c r="AL27" s="43">
        <f t="shared" si="9"/>
        <v>5800445846.7517662</v>
      </c>
      <c r="AM27" s="43">
        <f t="shared" si="10"/>
        <v>5967445846.7517662</v>
      </c>
      <c r="AN27" s="43">
        <f t="shared" si="11"/>
        <v>5990445846.7517662</v>
      </c>
      <c r="AO27" s="43">
        <f t="shared" si="12"/>
        <v>23558783387.007065</v>
      </c>
      <c r="AR27" s="40">
        <v>39741</v>
      </c>
      <c r="AS27" s="63">
        <v>0</v>
      </c>
      <c r="AT27" s="63">
        <v>0</v>
      </c>
      <c r="AU27" s="63">
        <v>0</v>
      </c>
      <c r="AV27" s="63">
        <v>0</v>
      </c>
      <c r="AW27" s="63">
        <v>0</v>
      </c>
      <c r="AX27" s="63">
        <v>0</v>
      </c>
      <c r="AY27" s="63">
        <v>0</v>
      </c>
      <c r="AZ27" s="63">
        <v>0</v>
      </c>
      <c r="BA27" s="63">
        <v>0</v>
      </c>
      <c r="BB27" s="63">
        <v>0</v>
      </c>
      <c r="BC27" s="63">
        <v>0</v>
      </c>
      <c r="BD27" s="63">
        <v>0</v>
      </c>
      <c r="BE27" s="63">
        <v>0</v>
      </c>
      <c r="BF27" s="63">
        <v>0</v>
      </c>
      <c r="BG27" s="63">
        <v>0</v>
      </c>
      <c r="BH27" s="63">
        <v>0</v>
      </c>
      <c r="BJ27" s="40">
        <v>39741</v>
      </c>
      <c r="BK27" s="43">
        <f t="shared" si="13"/>
        <v>0</v>
      </c>
      <c r="BL27" s="43">
        <f t="shared" si="14"/>
        <v>0</v>
      </c>
      <c r="BM27" s="43">
        <f t="shared" si="15"/>
        <v>0</v>
      </c>
      <c r="BN27" s="43">
        <f t="shared" si="16"/>
        <v>0</v>
      </c>
      <c r="BO27" s="43">
        <f t="shared" si="17"/>
        <v>0</v>
      </c>
      <c r="BP27" s="43">
        <f t="shared" si="18"/>
        <v>0</v>
      </c>
      <c r="BQ27" s="43">
        <f t="shared" si="19"/>
        <v>0</v>
      </c>
      <c r="BR27" s="43">
        <f t="shared" si="20"/>
        <v>0</v>
      </c>
      <c r="BS27" s="43">
        <f t="shared" si="21"/>
        <v>0</v>
      </c>
      <c r="BT27" s="43">
        <f t="shared" si="22"/>
        <v>0</v>
      </c>
      <c r="BU27" s="43">
        <f t="shared" si="23"/>
        <v>0</v>
      </c>
      <c r="BV27" s="43">
        <f t="shared" si="24"/>
        <v>0</v>
      </c>
      <c r="BW27" s="43">
        <f t="shared" si="25"/>
        <v>0</v>
      </c>
      <c r="BX27" s="43">
        <f t="shared" si="26"/>
        <v>0</v>
      </c>
      <c r="BY27" s="43">
        <f t="shared" si="27"/>
        <v>0</v>
      </c>
      <c r="BZ27" s="43">
        <f t="shared" si="28"/>
        <v>0</v>
      </c>
      <c r="CA27" s="40">
        <v>39741</v>
      </c>
      <c r="CB27" s="43">
        <f t="shared" si="77"/>
        <v>0</v>
      </c>
      <c r="CC27" s="43">
        <f t="shared" si="77"/>
        <v>0</v>
      </c>
      <c r="CD27" s="43">
        <f t="shared" si="77"/>
        <v>0</v>
      </c>
      <c r="CE27" s="43">
        <f t="shared" si="77"/>
        <v>0</v>
      </c>
      <c r="CF27" s="43">
        <f t="shared" si="77"/>
        <v>0</v>
      </c>
      <c r="CG27" s="43">
        <f t="shared" si="77"/>
        <v>0</v>
      </c>
      <c r="CH27" s="43">
        <f t="shared" si="77"/>
        <v>0</v>
      </c>
      <c r="CI27" s="43">
        <f t="shared" si="77"/>
        <v>0</v>
      </c>
      <c r="CJ27" s="43">
        <f t="shared" si="77"/>
        <v>0</v>
      </c>
      <c r="CK27" s="43">
        <f t="shared" si="77"/>
        <v>0</v>
      </c>
      <c r="CL27" s="43">
        <f t="shared" si="77"/>
        <v>0</v>
      </c>
      <c r="CM27" s="43">
        <f t="shared" si="77"/>
        <v>0</v>
      </c>
      <c r="CN27" s="43">
        <f t="shared" si="77"/>
        <v>0</v>
      </c>
      <c r="CO27" s="43">
        <f t="shared" si="77"/>
        <v>0</v>
      </c>
      <c r="CP27" s="43">
        <f t="shared" si="77"/>
        <v>0</v>
      </c>
      <c r="CQ27" s="43">
        <f t="shared" si="61"/>
        <v>0</v>
      </c>
      <c r="CR27" s="64">
        <f t="shared" si="45"/>
        <v>0</v>
      </c>
      <c r="CT27" s="40">
        <v>39741</v>
      </c>
      <c r="CU27" s="71">
        <f>+CU$3-SUM(AS$4:AS27)</f>
        <v>0</v>
      </c>
      <c r="CV27" s="71">
        <f>+CV$3-SUM(AT$4:AT27)</f>
        <v>1.0000050067901611E-2</v>
      </c>
      <c r="CW27" s="71">
        <f>+CW$3-SUM(AU$4:AU27)</f>
        <v>0</v>
      </c>
      <c r="CX27" s="71">
        <f>+CX$3-SUM(AV$4:AV27)</f>
        <v>2562945846.75</v>
      </c>
      <c r="CY27" s="71">
        <f>+CY$3-SUM(AW$4:AW27)</f>
        <v>1698999999.9999998</v>
      </c>
      <c r="CZ27" s="71">
        <f>+CZ$3-SUM(AX$4:AX27)</f>
        <v>1038500000</v>
      </c>
      <c r="DA27" s="71">
        <f>+DA$3-SUM(AY$4:AY27)</f>
        <v>500000000</v>
      </c>
      <c r="DB27" s="71">
        <f>+DB$3-SUM(AZ$4:AZ27)</f>
        <v>0</v>
      </c>
      <c r="DC27" s="71">
        <f>+DC$3-SUM(BA$4:BA27)</f>
        <v>167000000</v>
      </c>
      <c r="DD27" s="71">
        <f>+DD$3-SUM(BB$4:BB27)</f>
        <v>23000000</v>
      </c>
      <c r="DE27" s="71">
        <f>+DE$3-SUM(BC$4:BC27)</f>
        <v>0</v>
      </c>
      <c r="DF27" s="71">
        <f>+DF$3-SUM(BD$4:BD27)</f>
        <v>91000000</v>
      </c>
      <c r="DG27" s="71">
        <f>+DG$3-SUM(BE$4:BE27)</f>
        <v>56000000</v>
      </c>
      <c r="DH27" s="71">
        <f>+DH$3-SUM(BF$4:BF27)</f>
        <v>70000000</v>
      </c>
      <c r="DI27" s="71">
        <f>+DI$3-SUM(BG$4:BG27)</f>
        <v>211000000.00000003</v>
      </c>
      <c r="DJ27" s="71">
        <f>+DJ$3-SUM(BH$4:BH27)</f>
        <v>20000000</v>
      </c>
    </row>
    <row r="28" spans="1:114">
      <c r="A28" s="75">
        <v>39772</v>
      </c>
      <c r="B28" s="76">
        <f t="shared" si="3"/>
        <v>0</v>
      </c>
      <c r="C28" s="76">
        <f t="shared" si="59"/>
        <v>0</v>
      </c>
      <c r="D28" s="76">
        <f t="shared" si="59"/>
        <v>0</v>
      </c>
      <c r="E28" s="76">
        <f t="shared" si="59"/>
        <v>2152132205.4596939</v>
      </c>
      <c r="F28" s="76">
        <f t="shared" si="59"/>
        <v>1698999999.9999998</v>
      </c>
      <c r="G28" s="76">
        <f t="shared" si="59"/>
        <v>1038500000</v>
      </c>
      <c r="H28" s="76">
        <f t="shared" si="59"/>
        <v>500000000</v>
      </c>
      <c r="I28" s="76">
        <f t="shared" si="59"/>
        <v>0</v>
      </c>
      <c r="J28" s="76">
        <f t="shared" si="59"/>
        <v>167000000</v>
      </c>
      <c r="K28" s="76">
        <f t="shared" si="59"/>
        <v>23000000</v>
      </c>
      <c r="L28" s="76">
        <f t="shared" si="59"/>
        <v>0</v>
      </c>
      <c r="M28" s="76">
        <f t="shared" si="59"/>
        <v>91000000</v>
      </c>
      <c r="N28" s="76">
        <f t="shared" si="59"/>
        <v>56000000</v>
      </c>
      <c r="O28" s="76">
        <f t="shared" si="59"/>
        <v>70000000</v>
      </c>
      <c r="P28" s="76">
        <f t="shared" si="59"/>
        <v>211000000.00000003</v>
      </c>
      <c r="Q28" s="76">
        <f t="shared" si="59"/>
        <v>20000000</v>
      </c>
      <c r="S28" s="40">
        <v>39772</v>
      </c>
      <c r="T28" s="82">
        <f t="shared" si="47"/>
        <v>0</v>
      </c>
      <c r="U28" s="82">
        <f t="shared" si="62"/>
        <v>0</v>
      </c>
      <c r="V28" s="82">
        <f t="shared" si="63"/>
        <v>0</v>
      </c>
      <c r="W28" s="82">
        <f t="shared" si="64"/>
        <v>410813641.29000002</v>
      </c>
      <c r="X28" s="82">
        <f t="shared" si="65"/>
        <v>0</v>
      </c>
      <c r="Y28" s="82">
        <f t="shared" si="66"/>
        <v>0</v>
      </c>
      <c r="Z28" s="82">
        <f t="shared" si="67"/>
        <v>0</v>
      </c>
      <c r="AA28" s="82">
        <f t="shared" si="68"/>
        <v>0</v>
      </c>
      <c r="AB28" s="82">
        <f t="shared" si="69"/>
        <v>0</v>
      </c>
      <c r="AC28" s="82">
        <f t="shared" si="70"/>
        <v>0</v>
      </c>
      <c r="AD28" s="82">
        <f t="shared" si="71"/>
        <v>0</v>
      </c>
      <c r="AE28" s="82">
        <f t="shared" si="72"/>
        <v>0</v>
      </c>
      <c r="AF28" s="82">
        <f t="shared" si="73"/>
        <v>0</v>
      </c>
      <c r="AG28" s="82">
        <f t="shared" si="74"/>
        <v>0</v>
      </c>
      <c r="AH28" s="82">
        <f t="shared" si="75"/>
        <v>0</v>
      </c>
      <c r="AI28" s="82">
        <f t="shared" si="76"/>
        <v>0</v>
      </c>
      <c r="AJ28" s="40">
        <v>39772</v>
      </c>
      <c r="AK28" s="187">
        <f t="shared" si="8"/>
        <v>5389632205.4596939</v>
      </c>
      <c r="AL28" s="43">
        <f t="shared" si="9"/>
        <v>5389632205.4596939</v>
      </c>
      <c r="AM28" s="43">
        <f t="shared" si="10"/>
        <v>5556632205.4596939</v>
      </c>
      <c r="AN28" s="43">
        <f t="shared" si="11"/>
        <v>5579632205.4596939</v>
      </c>
      <c r="AO28" s="43">
        <f t="shared" si="12"/>
        <v>21915528821.838776</v>
      </c>
      <c r="AR28" s="40">
        <v>39772</v>
      </c>
      <c r="AS28" s="85">
        <v>0</v>
      </c>
      <c r="AT28" s="85">
        <v>0</v>
      </c>
      <c r="AU28" s="85">
        <v>0</v>
      </c>
      <c r="AV28" s="85">
        <v>410813641.29000002</v>
      </c>
      <c r="AW28" s="85">
        <v>0</v>
      </c>
      <c r="AX28" s="85">
        <v>0</v>
      </c>
      <c r="AY28" s="85">
        <v>0</v>
      </c>
      <c r="AZ28" s="85">
        <v>0</v>
      </c>
      <c r="BA28" s="85">
        <v>0</v>
      </c>
      <c r="BB28" s="85">
        <v>0</v>
      </c>
      <c r="BC28" s="85">
        <v>0</v>
      </c>
      <c r="BD28" s="85">
        <v>0</v>
      </c>
      <c r="BE28" s="85">
        <v>0</v>
      </c>
      <c r="BF28" s="85">
        <v>0</v>
      </c>
      <c r="BG28" s="85">
        <v>0</v>
      </c>
      <c r="BH28" s="85">
        <v>0</v>
      </c>
      <c r="BJ28" s="40">
        <v>39772</v>
      </c>
      <c r="BK28" s="43">
        <f t="shared" si="13"/>
        <v>0</v>
      </c>
      <c r="BL28" s="43">
        <f t="shared" si="14"/>
        <v>0</v>
      </c>
      <c r="BM28" s="43">
        <f t="shared" si="15"/>
        <v>0</v>
      </c>
      <c r="BN28" s="43">
        <f t="shared" si="16"/>
        <v>0</v>
      </c>
      <c r="BO28" s="43">
        <f t="shared" si="17"/>
        <v>0</v>
      </c>
      <c r="BP28" s="43">
        <f t="shared" si="18"/>
        <v>0</v>
      </c>
      <c r="BQ28" s="43">
        <f t="shared" si="19"/>
        <v>0</v>
      </c>
      <c r="BR28" s="43">
        <f t="shared" si="20"/>
        <v>0</v>
      </c>
      <c r="BS28" s="43">
        <f t="shared" si="21"/>
        <v>0</v>
      </c>
      <c r="BT28" s="43">
        <f t="shared" si="22"/>
        <v>0</v>
      </c>
      <c r="BU28" s="43">
        <f t="shared" si="23"/>
        <v>0</v>
      </c>
      <c r="BV28" s="43">
        <f t="shared" si="24"/>
        <v>0</v>
      </c>
      <c r="BW28" s="43">
        <f t="shared" si="25"/>
        <v>0</v>
      </c>
      <c r="BX28" s="43">
        <f t="shared" si="26"/>
        <v>0</v>
      </c>
      <c r="BY28" s="43">
        <f t="shared" si="27"/>
        <v>0</v>
      </c>
      <c r="BZ28" s="43">
        <f t="shared" si="28"/>
        <v>0</v>
      </c>
      <c r="CA28" s="40">
        <v>39772</v>
      </c>
      <c r="CB28" s="43">
        <f t="shared" si="77"/>
        <v>0</v>
      </c>
      <c r="CC28" s="43">
        <f t="shared" si="77"/>
        <v>0</v>
      </c>
      <c r="CD28" s="43">
        <f t="shared" si="77"/>
        <v>0</v>
      </c>
      <c r="CE28" s="43">
        <f t="shared" si="77"/>
        <v>0</v>
      </c>
      <c r="CF28" s="43">
        <f t="shared" si="77"/>
        <v>0</v>
      </c>
      <c r="CG28" s="43">
        <f t="shared" si="77"/>
        <v>0</v>
      </c>
      <c r="CH28" s="43">
        <f t="shared" si="77"/>
        <v>0</v>
      </c>
      <c r="CI28" s="43">
        <f t="shared" si="77"/>
        <v>0</v>
      </c>
      <c r="CJ28" s="43">
        <f t="shared" si="77"/>
        <v>0</v>
      </c>
      <c r="CK28" s="43">
        <f t="shared" si="77"/>
        <v>0</v>
      </c>
      <c r="CL28" s="43">
        <f t="shared" si="77"/>
        <v>0</v>
      </c>
      <c r="CM28" s="43">
        <f t="shared" si="77"/>
        <v>0</v>
      </c>
      <c r="CN28" s="43">
        <f t="shared" si="77"/>
        <v>0</v>
      </c>
      <c r="CO28" s="43">
        <f t="shared" si="77"/>
        <v>0</v>
      </c>
      <c r="CP28" s="43">
        <f t="shared" si="77"/>
        <v>0</v>
      </c>
      <c r="CQ28" s="43">
        <f t="shared" si="61"/>
        <v>0</v>
      </c>
      <c r="CR28" s="64">
        <f t="shared" si="45"/>
        <v>0</v>
      </c>
      <c r="CT28" s="40">
        <v>39772</v>
      </c>
      <c r="CU28" s="71">
        <f>+CU$3-SUM(AS$4:AS28)</f>
        <v>0</v>
      </c>
      <c r="CV28" s="71">
        <f>+CV$3-SUM(AT$4:AT28)</f>
        <v>1.0000050067901611E-2</v>
      </c>
      <c r="CW28" s="71">
        <f>+CW$3-SUM(AU$4:AU28)</f>
        <v>0</v>
      </c>
      <c r="CX28" s="71">
        <f>+CX$3-SUM(AV$4:AV28)</f>
        <v>2152132205.46</v>
      </c>
      <c r="CY28" s="71">
        <f>+CY$3-SUM(AW$4:AW28)</f>
        <v>1698999999.9999998</v>
      </c>
      <c r="CZ28" s="71">
        <f>+CZ$3-SUM(AX$4:AX28)</f>
        <v>1038500000</v>
      </c>
      <c r="DA28" s="71">
        <f>+DA$3-SUM(AY$4:AY28)</f>
        <v>500000000</v>
      </c>
      <c r="DB28" s="71">
        <f>+DB$3-SUM(AZ$4:AZ28)</f>
        <v>0</v>
      </c>
      <c r="DC28" s="71">
        <f>+DC$3-SUM(BA$4:BA28)</f>
        <v>167000000</v>
      </c>
      <c r="DD28" s="71">
        <f>+DD$3-SUM(BB$4:BB28)</f>
        <v>23000000</v>
      </c>
      <c r="DE28" s="71">
        <f>+DE$3-SUM(BC$4:BC28)</f>
        <v>0</v>
      </c>
      <c r="DF28" s="71">
        <f>+DF$3-SUM(BD$4:BD28)</f>
        <v>91000000</v>
      </c>
      <c r="DG28" s="71">
        <f>+DG$3-SUM(BE$4:BE28)</f>
        <v>56000000</v>
      </c>
      <c r="DH28" s="71">
        <f>+DH$3-SUM(BF$4:BF28)</f>
        <v>70000000</v>
      </c>
      <c r="DI28" s="71">
        <f>+DI$3-SUM(BG$4:BG28)</f>
        <v>211000000.00000003</v>
      </c>
      <c r="DJ28" s="71">
        <f>+DJ$3-SUM(BH$4:BH28)</f>
        <v>20000000</v>
      </c>
    </row>
    <row r="29" spans="1:114">
      <c r="A29" s="75">
        <v>39802</v>
      </c>
      <c r="B29" s="76">
        <f t="shared" si="3"/>
        <v>0</v>
      </c>
      <c r="C29" s="76">
        <f t="shared" si="59"/>
        <v>0</v>
      </c>
      <c r="D29" s="76">
        <f t="shared" si="59"/>
        <v>0</v>
      </c>
      <c r="E29" s="76">
        <f t="shared" si="59"/>
        <v>2152132205.4596939</v>
      </c>
      <c r="F29" s="76">
        <f t="shared" si="59"/>
        <v>1698999999.9999998</v>
      </c>
      <c r="G29" s="76">
        <f t="shared" si="59"/>
        <v>1038500000</v>
      </c>
      <c r="H29" s="76">
        <f t="shared" si="59"/>
        <v>500000000</v>
      </c>
      <c r="I29" s="76">
        <f t="shared" si="59"/>
        <v>0</v>
      </c>
      <c r="J29" s="76">
        <f t="shared" si="59"/>
        <v>167000000</v>
      </c>
      <c r="K29" s="76">
        <f t="shared" si="59"/>
        <v>23000000</v>
      </c>
      <c r="L29" s="76">
        <f t="shared" si="59"/>
        <v>0</v>
      </c>
      <c r="M29" s="76">
        <f t="shared" si="59"/>
        <v>91000000</v>
      </c>
      <c r="N29" s="76">
        <f t="shared" si="59"/>
        <v>56000000</v>
      </c>
      <c r="O29" s="76">
        <f t="shared" si="59"/>
        <v>70000000</v>
      </c>
      <c r="P29" s="76">
        <f t="shared" si="59"/>
        <v>211000000.00000003</v>
      </c>
      <c r="Q29" s="76">
        <f t="shared" si="59"/>
        <v>20000000</v>
      </c>
      <c r="S29" s="40">
        <v>39802</v>
      </c>
      <c r="T29" s="82">
        <f t="shared" si="47"/>
        <v>0</v>
      </c>
      <c r="U29" s="82">
        <f t="shared" si="62"/>
        <v>0</v>
      </c>
      <c r="V29" s="82">
        <f t="shared" si="63"/>
        <v>0</v>
      </c>
      <c r="W29" s="82">
        <f t="shared" si="64"/>
        <v>0</v>
      </c>
      <c r="X29" s="82">
        <f t="shared" si="65"/>
        <v>0</v>
      </c>
      <c r="Y29" s="82">
        <f t="shared" si="66"/>
        <v>0</v>
      </c>
      <c r="Z29" s="82">
        <f t="shared" si="67"/>
        <v>0</v>
      </c>
      <c r="AA29" s="82">
        <f t="shared" si="68"/>
        <v>0</v>
      </c>
      <c r="AB29" s="82">
        <f t="shared" si="69"/>
        <v>0</v>
      </c>
      <c r="AC29" s="82">
        <f t="shared" si="70"/>
        <v>0</v>
      </c>
      <c r="AD29" s="82">
        <f t="shared" si="71"/>
        <v>0</v>
      </c>
      <c r="AE29" s="82">
        <f t="shared" si="72"/>
        <v>0</v>
      </c>
      <c r="AF29" s="82">
        <f t="shared" si="73"/>
        <v>0</v>
      </c>
      <c r="AG29" s="82">
        <f t="shared" si="74"/>
        <v>0</v>
      </c>
      <c r="AH29" s="82">
        <f t="shared" si="75"/>
        <v>0</v>
      </c>
      <c r="AI29" s="82">
        <f t="shared" si="76"/>
        <v>0</v>
      </c>
      <c r="AJ29" s="40">
        <v>39802</v>
      </c>
      <c r="AK29" s="187">
        <f t="shared" si="8"/>
        <v>5389632205.4596939</v>
      </c>
      <c r="AL29" s="43">
        <f t="shared" si="9"/>
        <v>5389632205.4596939</v>
      </c>
      <c r="AM29" s="43">
        <f t="shared" si="10"/>
        <v>5556632205.4596939</v>
      </c>
      <c r="AN29" s="43">
        <f t="shared" si="11"/>
        <v>5579632205.4596939</v>
      </c>
      <c r="AO29" s="43">
        <f t="shared" si="12"/>
        <v>21915528821.838776</v>
      </c>
      <c r="AR29" s="40">
        <v>39802</v>
      </c>
      <c r="AS29" s="63">
        <v>0</v>
      </c>
      <c r="AT29" s="63">
        <v>0</v>
      </c>
      <c r="AU29" s="63">
        <v>0</v>
      </c>
      <c r="AV29" s="63">
        <v>0</v>
      </c>
      <c r="AW29" s="63">
        <v>0</v>
      </c>
      <c r="AX29" s="63">
        <v>0</v>
      </c>
      <c r="AY29" s="63">
        <v>0</v>
      </c>
      <c r="AZ29" s="63">
        <v>0</v>
      </c>
      <c r="BA29" s="63">
        <v>0</v>
      </c>
      <c r="BB29" s="63">
        <v>0</v>
      </c>
      <c r="BC29" s="63">
        <v>0</v>
      </c>
      <c r="BD29" s="63">
        <v>0</v>
      </c>
      <c r="BE29" s="63">
        <v>0</v>
      </c>
      <c r="BF29" s="63">
        <v>0</v>
      </c>
      <c r="BG29" s="63">
        <v>0</v>
      </c>
      <c r="BH29" s="63">
        <v>0</v>
      </c>
      <c r="BJ29" s="40">
        <v>39802</v>
      </c>
      <c r="BK29" s="43">
        <f t="shared" si="13"/>
        <v>0</v>
      </c>
      <c r="BL29" s="43">
        <f t="shared" si="14"/>
        <v>0</v>
      </c>
      <c r="BM29" s="43">
        <f t="shared" si="15"/>
        <v>0</v>
      </c>
      <c r="BN29" s="43">
        <f t="shared" si="16"/>
        <v>0</v>
      </c>
      <c r="BO29" s="43">
        <f t="shared" si="17"/>
        <v>0</v>
      </c>
      <c r="BP29" s="43">
        <f t="shared" si="18"/>
        <v>0</v>
      </c>
      <c r="BQ29" s="43">
        <f t="shared" si="19"/>
        <v>0</v>
      </c>
      <c r="BR29" s="43">
        <f t="shared" si="20"/>
        <v>0</v>
      </c>
      <c r="BS29" s="43">
        <f t="shared" si="21"/>
        <v>0</v>
      </c>
      <c r="BT29" s="43">
        <f t="shared" si="22"/>
        <v>0</v>
      </c>
      <c r="BU29" s="43">
        <f t="shared" si="23"/>
        <v>0</v>
      </c>
      <c r="BV29" s="43">
        <f t="shared" si="24"/>
        <v>0</v>
      </c>
      <c r="BW29" s="43">
        <f t="shared" si="25"/>
        <v>0</v>
      </c>
      <c r="BX29" s="43">
        <f t="shared" si="26"/>
        <v>0</v>
      </c>
      <c r="BY29" s="43">
        <f t="shared" si="27"/>
        <v>0</v>
      </c>
      <c r="BZ29" s="43">
        <f t="shared" si="28"/>
        <v>0</v>
      </c>
      <c r="CA29" s="40">
        <v>39802</v>
      </c>
      <c r="CB29" s="43">
        <f t="shared" si="77"/>
        <v>0</v>
      </c>
      <c r="CC29" s="43">
        <f t="shared" si="77"/>
        <v>0</v>
      </c>
      <c r="CD29" s="43">
        <f t="shared" si="77"/>
        <v>0</v>
      </c>
      <c r="CE29" s="43">
        <f t="shared" si="77"/>
        <v>0</v>
      </c>
      <c r="CF29" s="43">
        <f t="shared" si="77"/>
        <v>0</v>
      </c>
      <c r="CG29" s="43">
        <f t="shared" si="77"/>
        <v>0</v>
      </c>
      <c r="CH29" s="43">
        <f t="shared" si="77"/>
        <v>0</v>
      </c>
      <c r="CI29" s="43">
        <f t="shared" si="77"/>
        <v>0</v>
      </c>
      <c r="CJ29" s="43">
        <f t="shared" si="77"/>
        <v>0</v>
      </c>
      <c r="CK29" s="43">
        <f t="shared" si="77"/>
        <v>0</v>
      </c>
      <c r="CL29" s="43">
        <f t="shared" si="77"/>
        <v>0</v>
      </c>
      <c r="CM29" s="43">
        <f t="shared" si="77"/>
        <v>0</v>
      </c>
      <c r="CN29" s="43">
        <f t="shared" si="77"/>
        <v>0</v>
      </c>
      <c r="CO29" s="43">
        <f t="shared" si="77"/>
        <v>0</v>
      </c>
      <c r="CP29" s="43">
        <f t="shared" si="77"/>
        <v>0</v>
      </c>
      <c r="CQ29" s="43">
        <f t="shared" si="61"/>
        <v>0</v>
      </c>
      <c r="CR29" s="64">
        <f t="shared" si="45"/>
        <v>0</v>
      </c>
      <c r="CT29" s="40">
        <v>39802</v>
      </c>
      <c r="CU29" s="71">
        <f>+CU$3-SUM(AS$4:AS29)</f>
        <v>0</v>
      </c>
      <c r="CV29" s="71">
        <f>+CV$3-SUM(AT$4:AT29)</f>
        <v>1.0000050067901611E-2</v>
      </c>
      <c r="CW29" s="71">
        <f>+CW$3-SUM(AU$4:AU29)</f>
        <v>0</v>
      </c>
      <c r="CX29" s="71">
        <f>+CX$3-SUM(AV$4:AV29)</f>
        <v>2152132205.46</v>
      </c>
      <c r="CY29" s="71">
        <f>+CY$3-SUM(AW$4:AW29)</f>
        <v>1698999999.9999998</v>
      </c>
      <c r="CZ29" s="71">
        <f>+CZ$3-SUM(AX$4:AX29)</f>
        <v>1038500000</v>
      </c>
      <c r="DA29" s="71">
        <f>+DA$3-SUM(AY$4:AY29)</f>
        <v>500000000</v>
      </c>
      <c r="DB29" s="71">
        <f>+DB$3-SUM(AZ$4:AZ29)</f>
        <v>0</v>
      </c>
      <c r="DC29" s="71">
        <f>+DC$3-SUM(BA$4:BA29)</f>
        <v>167000000</v>
      </c>
      <c r="DD29" s="71">
        <f>+DD$3-SUM(BB$4:BB29)</f>
        <v>23000000</v>
      </c>
      <c r="DE29" s="71">
        <f>+DE$3-SUM(BC$4:BC29)</f>
        <v>0</v>
      </c>
      <c r="DF29" s="71">
        <f>+DF$3-SUM(BD$4:BD29)</f>
        <v>91000000</v>
      </c>
      <c r="DG29" s="71">
        <f>+DG$3-SUM(BE$4:BE29)</f>
        <v>56000000</v>
      </c>
      <c r="DH29" s="71">
        <f>+DH$3-SUM(BF$4:BF29)</f>
        <v>70000000</v>
      </c>
      <c r="DI29" s="71">
        <f>+DI$3-SUM(BG$4:BG29)</f>
        <v>211000000.00000003</v>
      </c>
      <c r="DJ29" s="71">
        <f>+DJ$3-SUM(BH$4:BH29)</f>
        <v>20000000</v>
      </c>
    </row>
    <row r="30" spans="1:114">
      <c r="A30" s="75">
        <v>39833</v>
      </c>
      <c r="B30" s="76">
        <f t="shared" si="3"/>
        <v>0</v>
      </c>
      <c r="C30" s="76">
        <f t="shared" si="59"/>
        <v>0</v>
      </c>
      <c r="D30" s="76">
        <f t="shared" si="59"/>
        <v>0</v>
      </c>
      <c r="E30" s="76">
        <f t="shared" si="59"/>
        <v>2152132205.4596939</v>
      </c>
      <c r="F30" s="76">
        <f t="shared" si="59"/>
        <v>1698999999.9999998</v>
      </c>
      <c r="G30" s="76">
        <f t="shared" si="59"/>
        <v>1038500000</v>
      </c>
      <c r="H30" s="76">
        <f t="shared" si="59"/>
        <v>500000000</v>
      </c>
      <c r="I30" s="76">
        <f t="shared" si="59"/>
        <v>0</v>
      </c>
      <c r="J30" s="76">
        <f t="shared" si="59"/>
        <v>167000000</v>
      </c>
      <c r="K30" s="76">
        <f t="shared" si="59"/>
        <v>23000000</v>
      </c>
      <c r="L30" s="76">
        <f t="shared" si="59"/>
        <v>0</v>
      </c>
      <c r="M30" s="76">
        <f t="shared" si="59"/>
        <v>91000000</v>
      </c>
      <c r="N30" s="76">
        <f t="shared" si="59"/>
        <v>56000000</v>
      </c>
      <c r="O30" s="76">
        <f t="shared" si="59"/>
        <v>70000000</v>
      </c>
      <c r="P30" s="76">
        <f t="shared" si="59"/>
        <v>211000000.00000003</v>
      </c>
      <c r="Q30" s="76">
        <f t="shared" si="59"/>
        <v>20000000</v>
      </c>
      <c r="S30" s="40">
        <v>39833</v>
      </c>
      <c r="T30" s="82">
        <f t="shared" si="47"/>
        <v>0</v>
      </c>
      <c r="U30" s="82">
        <f t="shared" si="62"/>
        <v>0</v>
      </c>
      <c r="V30" s="82">
        <f t="shared" si="63"/>
        <v>0</v>
      </c>
      <c r="W30" s="82">
        <f t="shared" si="64"/>
        <v>0</v>
      </c>
      <c r="X30" s="82">
        <f t="shared" si="65"/>
        <v>0</v>
      </c>
      <c r="Y30" s="82">
        <f t="shared" si="66"/>
        <v>0</v>
      </c>
      <c r="Z30" s="82">
        <f t="shared" si="67"/>
        <v>0</v>
      </c>
      <c r="AA30" s="82">
        <f t="shared" si="68"/>
        <v>0</v>
      </c>
      <c r="AB30" s="82">
        <f t="shared" si="69"/>
        <v>0</v>
      </c>
      <c r="AC30" s="82">
        <f t="shared" si="70"/>
        <v>0</v>
      </c>
      <c r="AD30" s="82">
        <f t="shared" si="71"/>
        <v>0</v>
      </c>
      <c r="AE30" s="82">
        <f t="shared" si="72"/>
        <v>0</v>
      </c>
      <c r="AF30" s="82">
        <f t="shared" si="73"/>
        <v>0</v>
      </c>
      <c r="AG30" s="82">
        <f t="shared" si="74"/>
        <v>0</v>
      </c>
      <c r="AH30" s="82">
        <f t="shared" si="75"/>
        <v>0</v>
      </c>
      <c r="AI30" s="82">
        <f t="shared" si="76"/>
        <v>0</v>
      </c>
      <c r="AJ30" s="40">
        <v>39833</v>
      </c>
      <c r="AK30" s="187">
        <f t="shared" si="8"/>
        <v>5389632205.4596939</v>
      </c>
      <c r="AL30" s="43">
        <f t="shared" si="9"/>
        <v>5389632205.4596939</v>
      </c>
      <c r="AM30" s="43">
        <f t="shared" si="10"/>
        <v>5556632205.4596939</v>
      </c>
      <c r="AN30" s="43">
        <f t="shared" si="11"/>
        <v>5579632205.4596939</v>
      </c>
      <c r="AO30" s="43">
        <f t="shared" si="12"/>
        <v>21915528821.838776</v>
      </c>
      <c r="AR30" s="40">
        <v>39833</v>
      </c>
      <c r="AS30" s="63">
        <v>0</v>
      </c>
      <c r="AT30" s="63">
        <v>0</v>
      </c>
      <c r="AU30" s="63">
        <v>0</v>
      </c>
      <c r="AV30" s="63">
        <v>0</v>
      </c>
      <c r="AW30" s="63">
        <v>0</v>
      </c>
      <c r="AX30" s="63">
        <v>0</v>
      </c>
      <c r="AY30" s="63">
        <v>0</v>
      </c>
      <c r="AZ30" s="63">
        <v>0</v>
      </c>
      <c r="BA30" s="63">
        <v>0</v>
      </c>
      <c r="BB30" s="63">
        <v>0</v>
      </c>
      <c r="BC30" s="63">
        <v>0</v>
      </c>
      <c r="BD30" s="63">
        <v>0</v>
      </c>
      <c r="BE30" s="63">
        <v>0</v>
      </c>
      <c r="BF30" s="63">
        <v>0</v>
      </c>
      <c r="BG30" s="63">
        <v>0</v>
      </c>
      <c r="BH30" s="63">
        <v>0</v>
      </c>
      <c r="BJ30" s="40">
        <v>39833</v>
      </c>
      <c r="BK30" s="43">
        <f t="shared" si="13"/>
        <v>0</v>
      </c>
      <c r="BL30" s="43">
        <f t="shared" si="14"/>
        <v>0</v>
      </c>
      <c r="BM30" s="43">
        <f t="shared" si="15"/>
        <v>0</v>
      </c>
      <c r="BN30" s="43">
        <f t="shared" si="16"/>
        <v>0</v>
      </c>
      <c r="BO30" s="43">
        <f t="shared" si="17"/>
        <v>0</v>
      </c>
      <c r="BP30" s="43">
        <f t="shared" si="18"/>
        <v>0</v>
      </c>
      <c r="BQ30" s="43">
        <f t="shared" si="19"/>
        <v>0</v>
      </c>
      <c r="BR30" s="43">
        <f t="shared" si="20"/>
        <v>0</v>
      </c>
      <c r="BS30" s="43">
        <f t="shared" si="21"/>
        <v>0</v>
      </c>
      <c r="BT30" s="43">
        <f t="shared" si="22"/>
        <v>0</v>
      </c>
      <c r="BU30" s="43">
        <f t="shared" si="23"/>
        <v>0</v>
      </c>
      <c r="BV30" s="43">
        <f t="shared" si="24"/>
        <v>0</v>
      </c>
      <c r="BW30" s="43">
        <f t="shared" si="25"/>
        <v>0</v>
      </c>
      <c r="BX30" s="43">
        <f t="shared" si="26"/>
        <v>0</v>
      </c>
      <c r="BY30" s="43">
        <f t="shared" si="27"/>
        <v>0</v>
      </c>
      <c r="BZ30" s="43">
        <f t="shared" si="28"/>
        <v>0</v>
      </c>
      <c r="CA30" s="40">
        <v>39833</v>
      </c>
      <c r="CB30" s="43">
        <f t="shared" si="77"/>
        <v>0</v>
      </c>
      <c r="CC30" s="43">
        <f t="shared" si="77"/>
        <v>0</v>
      </c>
      <c r="CD30" s="43">
        <f t="shared" si="77"/>
        <v>0</v>
      </c>
      <c r="CE30" s="43">
        <f t="shared" si="77"/>
        <v>0</v>
      </c>
      <c r="CF30" s="43">
        <f t="shared" si="77"/>
        <v>0</v>
      </c>
      <c r="CG30" s="43">
        <f t="shared" si="77"/>
        <v>0</v>
      </c>
      <c r="CH30" s="43">
        <f t="shared" si="77"/>
        <v>0</v>
      </c>
      <c r="CI30" s="43">
        <f t="shared" si="77"/>
        <v>0</v>
      </c>
      <c r="CJ30" s="43">
        <f t="shared" si="77"/>
        <v>0</v>
      </c>
      <c r="CK30" s="43">
        <f t="shared" si="77"/>
        <v>0</v>
      </c>
      <c r="CL30" s="43">
        <f t="shared" si="77"/>
        <v>0</v>
      </c>
      <c r="CM30" s="43">
        <f t="shared" si="77"/>
        <v>0</v>
      </c>
      <c r="CN30" s="43">
        <f t="shared" si="77"/>
        <v>0</v>
      </c>
      <c r="CO30" s="43">
        <f t="shared" si="77"/>
        <v>0</v>
      </c>
      <c r="CP30" s="43">
        <f t="shared" si="77"/>
        <v>0</v>
      </c>
      <c r="CQ30" s="43">
        <f t="shared" si="61"/>
        <v>0</v>
      </c>
      <c r="CR30" s="64">
        <f t="shared" si="45"/>
        <v>0</v>
      </c>
      <c r="CT30" s="40">
        <v>39833</v>
      </c>
      <c r="CU30" s="71">
        <f>+CU$3-SUM(AS$4:AS30)</f>
        <v>0</v>
      </c>
      <c r="CV30" s="71">
        <f>+CV$3-SUM(AT$4:AT30)</f>
        <v>1.0000050067901611E-2</v>
      </c>
      <c r="CW30" s="71">
        <f>+CW$3-SUM(AU$4:AU30)</f>
        <v>0</v>
      </c>
      <c r="CX30" s="71">
        <f>+CX$3-SUM(AV$4:AV30)</f>
        <v>2152132205.46</v>
      </c>
      <c r="CY30" s="71">
        <f>+CY$3-SUM(AW$4:AW30)</f>
        <v>1698999999.9999998</v>
      </c>
      <c r="CZ30" s="71">
        <f>+CZ$3-SUM(AX$4:AX30)</f>
        <v>1038500000</v>
      </c>
      <c r="DA30" s="71">
        <f>+DA$3-SUM(AY$4:AY30)</f>
        <v>500000000</v>
      </c>
      <c r="DB30" s="71">
        <f>+DB$3-SUM(AZ$4:AZ30)</f>
        <v>0</v>
      </c>
      <c r="DC30" s="71">
        <f>+DC$3-SUM(BA$4:BA30)</f>
        <v>167000000</v>
      </c>
      <c r="DD30" s="71">
        <f>+DD$3-SUM(BB$4:BB30)</f>
        <v>23000000</v>
      </c>
      <c r="DE30" s="71">
        <f>+DE$3-SUM(BC$4:BC30)</f>
        <v>0</v>
      </c>
      <c r="DF30" s="71">
        <f>+DF$3-SUM(BD$4:BD30)</f>
        <v>91000000</v>
      </c>
      <c r="DG30" s="71">
        <f>+DG$3-SUM(BE$4:BE30)</f>
        <v>56000000</v>
      </c>
      <c r="DH30" s="71">
        <f>+DH$3-SUM(BF$4:BF30)</f>
        <v>70000000</v>
      </c>
      <c r="DI30" s="71">
        <f>+DI$3-SUM(BG$4:BG30)</f>
        <v>211000000.00000003</v>
      </c>
      <c r="DJ30" s="71">
        <f>+DJ$3-SUM(BH$4:BH30)</f>
        <v>20000000</v>
      </c>
    </row>
    <row r="31" spans="1:114">
      <c r="A31" s="75">
        <v>39864</v>
      </c>
      <c r="B31" s="76">
        <f t="shared" si="3"/>
        <v>0</v>
      </c>
      <c r="C31" s="76">
        <f t="shared" si="59"/>
        <v>0</v>
      </c>
      <c r="D31" s="76">
        <f t="shared" si="59"/>
        <v>0</v>
      </c>
      <c r="E31" s="76">
        <f t="shared" si="59"/>
        <v>1763608651.3436773</v>
      </c>
      <c r="F31" s="76">
        <f t="shared" si="59"/>
        <v>1698999999.9999998</v>
      </c>
      <c r="G31" s="76">
        <f t="shared" si="59"/>
        <v>1038500000</v>
      </c>
      <c r="H31" s="76">
        <f t="shared" si="59"/>
        <v>500000000</v>
      </c>
      <c r="I31" s="76">
        <f t="shared" si="59"/>
        <v>0</v>
      </c>
      <c r="J31" s="76">
        <f t="shared" si="59"/>
        <v>167000000</v>
      </c>
      <c r="K31" s="76">
        <f t="shared" si="59"/>
        <v>23000000</v>
      </c>
      <c r="L31" s="76">
        <f t="shared" si="59"/>
        <v>0</v>
      </c>
      <c r="M31" s="76">
        <f t="shared" si="59"/>
        <v>91000000</v>
      </c>
      <c r="N31" s="76">
        <f t="shared" si="59"/>
        <v>56000000</v>
      </c>
      <c r="O31" s="76">
        <f t="shared" si="59"/>
        <v>70000000</v>
      </c>
      <c r="P31" s="76">
        <f t="shared" si="59"/>
        <v>211000000.00000003</v>
      </c>
      <c r="Q31" s="76">
        <f t="shared" si="59"/>
        <v>20000000</v>
      </c>
      <c r="S31" s="40">
        <v>39864</v>
      </c>
      <c r="T31" s="82">
        <f t="shared" si="47"/>
        <v>0</v>
      </c>
      <c r="U31" s="82">
        <f t="shared" si="62"/>
        <v>0</v>
      </c>
      <c r="V31" s="82">
        <f t="shared" si="63"/>
        <v>0</v>
      </c>
      <c r="W31" s="82">
        <f t="shared" si="64"/>
        <v>388523554.12</v>
      </c>
      <c r="X31" s="82">
        <f t="shared" si="65"/>
        <v>0</v>
      </c>
      <c r="Y31" s="82">
        <f t="shared" si="66"/>
        <v>0</v>
      </c>
      <c r="Z31" s="82">
        <f t="shared" si="67"/>
        <v>0</v>
      </c>
      <c r="AA31" s="82">
        <f t="shared" si="68"/>
        <v>0</v>
      </c>
      <c r="AB31" s="82">
        <f t="shared" si="69"/>
        <v>0</v>
      </c>
      <c r="AC31" s="82">
        <f t="shared" si="70"/>
        <v>0</v>
      </c>
      <c r="AD31" s="82">
        <f t="shared" si="71"/>
        <v>0</v>
      </c>
      <c r="AE31" s="82">
        <f t="shared" si="72"/>
        <v>0</v>
      </c>
      <c r="AF31" s="82">
        <f t="shared" si="73"/>
        <v>0</v>
      </c>
      <c r="AG31" s="82">
        <f t="shared" si="74"/>
        <v>0</v>
      </c>
      <c r="AH31" s="82">
        <f t="shared" si="75"/>
        <v>0</v>
      </c>
      <c r="AI31" s="82">
        <f t="shared" si="76"/>
        <v>0</v>
      </c>
      <c r="AJ31" s="40">
        <v>39864</v>
      </c>
      <c r="AK31" s="187">
        <f t="shared" si="8"/>
        <v>5001108651.3436775</v>
      </c>
      <c r="AL31" s="43">
        <f t="shared" si="9"/>
        <v>5001108651.3436775</v>
      </c>
      <c r="AM31" s="43">
        <f t="shared" si="10"/>
        <v>5168108651.3436775</v>
      </c>
      <c r="AN31" s="43">
        <f t="shared" si="11"/>
        <v>5191108651.3436775</v>
      </c>
      <c r="AO31" s="43">
        <f t="shared" si="12"/>
        <v>20361434605.37471</v>
      </c>
      <c r="AR31" s="40">
        <v>39864</v>
      </c>
      <c r="AS31" s="63">
        <v>0</v>
      </c>
      <c r="AT31" s="63">
        <v>0</v>
      </c>
      <c r="AU31" s="63">
        <v>0</v>
      </c>
      <c r="AV31" s="85">
        <v>388523554.12</v>
      </c>
      <c r="AW31" s="63">
        <v>0</v>
      </c>
      <c r="AX31" s="63">
        <v>0</v>
      </c>
      <c r="AY31" s="63">
        <v>0</v>
      </c>
      <c r="AZ31" s="63">
        <v>0</v>
      </c>
      <c r="BA31" s="63">
        <v>0</v>
      </c>
      <c r="BB31" s="63">
        <v>0</v>
      </c>
      <c r="BC31" s="63">
        <v>0</v>
      </c>
      <c r="BD31" s="63">
        <v>0</v>
      </c>
      <c r="BE31" s="63">
        <v>0</v>
      </c>
      <c r="BF31" s="63">
        <v>0</v>
      </c>
      <c r="BG31" s="63">
        <v>0</v>
      </c>
      <c r="BH31" s="63">
        <v>0</v>
      </c>
      <c r="BJ31" s="40">
        <v>39864</v>
      </c>
      <c r="BK31" s="43">
        <f t="shared" si="13"/>
        <v>0</v>
      </c>
      <c r="BL31" s="43">
        <f t="shared" si="14"/>
        <v>0</v>
      </c>
      <c r="BM31" s="43">
        <f t="shared" si="15"/>
        <v>0</v>
      </c>
      <c r="BN31" s="43">
        <f t="shared" si="16"/>
        <v>0</v>
      </c>
      <c r="BO31" s="43">
        <f t="shared" si="17"/>
        <v>0</v>
      </c>
      <c r="BP31" s="43">
        <f t="shared" si="18"/>
        <v>0</v>
      </c>
      <c r="BQ31" s="43">
        <f t="shared" si="19"/>
        <v>0</v>
      </c>
      <c r="BR31" s="43">
        <f t="shared" si="20"/>
        <v>0</v>
      </c>
      <c r="BS31" s="43">
        <f t="shared" si="21"/>
        <v>0</v>
      </c>
      <c r="BT31" s="43">
        <f t="shared" si="22"/>
        <v>0</v>
      </c>
      <c r="BU31" s="43">
        <f t="shared" si="23"/>
        <v>0</v>
      </c>
      <c r="BV31" s="43">
        <f t="shared" si="24"/>
        <v>0</v>
      </c>
      <c r="BW31" s="43">
        <f t="shared" si="25"/>
        <v>0</v>
      </c>
      <c r="BX31" s="43">
        <f t="shared" si="26"/>
        <v>0</v>
      </c>
      <c r="BY31" s="43">
        <f t="shared" si="27"/>
        <v>0</v>
      </c>
      <c r="BZ31" s="43">
        <f t="shared" si="28"/>
        <v>0</v>
      </c>
      <c r="CA31" s="40">
        <v>39864</v>
      </c>
      <c r="CB31" s="43">
        <f t="shared" si="77"/>
        <v>0</v>
      </c>
      <c r="CC31" s="43">
        <f t="shared" si="77"/>
        <v>0</v>
      </c>
      <c r="CD31" s="43">
        <f t="shared" si="77"/>
        <v>0</v>
      </c>
      <c r="CE31" s="43">
        <f t="shared" si="77"/>
        <v>0</v>
      </c>
      <c r="CF31" s="43">
        <f t="shared" si="77"/>
        <v>0</v>
      </c>
      <c r="CG31" s="43">
        <f t="shared" si="77"/>
        <v>0</v>
      </c>
      <c r="CH31" s="43">
        <f t="shared" si="77"/>
        <v>0</v>
      </c>
      <c r="CI31" s="43">
        <f t="shared" si="77"/>
        <v>0</v>
      </c>
      <c r="CJ31" s="43">
        <f t="shared" si="77"/>
        <v>0</v>
      </c>
      <c r="CK31" s="43">
        <f t="shared" si="77"/>
        <v>0</v>
      </c>
      <c r="CL31" s="43">
        <f t="shared" si="77"/>
        <v>0</v>
      </c>
      <c r="CM31" s="43">
        <f t="shared" si="77"/>
        <v>0</v>
      </c>
      <c r="CN31" s="43">
        <f t="shared" si="77"/>
        <v>0</v>
      </c>
      <c r="CO31" s="43">
        <f t="shared" si="77"/>
        <v>0</v>
      </c>
      <c r="CP31" s="43">
        <f t="shared" si="77"/>
        <v>0</v>
      </c>
      <c r="CQ31" s="43">
        <f t="shared" si="61"/>
        <v>0</v>
      </c>
      <c r="CR31" s="64">
        <f t="shared" si="45"/>
        <v>0</v>
      </c>
      <c r="CT31" s="40">
        <v>39864</v>
      </c>
      <c r="CU31" s="71">
        <f>+CU$3-SUM(AS$4:AS31)</f>
        <v>0</v>
      </c>
      <c r="CV31" s="71">
        <f>+CV$3-SUM(AT$4:AT31)</f>
        <v>1.0000050067901611E-2</v>
      </c>
      <c r="CW31" s="71">
        <f>+CW$3-SUM(AU$4:AU31)</f>
        <v>0</v>
      </c>
      <c r="CX31" s="71">
        <f>+CX$3-SUM(AV$4:AV31)</f>
        <v>1763608651.3399999</v>
      </c>
      <c r="CY31" s="71">
        <f>+CY$3-SUM(AW$4:AW31)</f>
        <v>1698999999.9999998</v>
      </c>
      <c r="CZ31" s="71">
        <f>+CZ$3-SUM(AX$4:AX31)</f>
        <v>1038500000</v>
      </c>
      <c r="DA31" s="71">
        <f>+DA$3-SUM(AY$4:AY31)</f>
        <v>500000000</v>
      </c>
      <c r="DB31" s="71">
        <f>+DB$3-SUM(AZ$4:AZ31)</f>
        <v>0</v>
      </c>
      <c r="DC31" s="71">
        <f>+DC$3-SUM(BA$4:BA31)</f>
        <v>167000000</v>
      </c>
      <c r="DD31" s="71">
        <f>+DD$3-SUM(BB$4:BB31)</f>
        <v>23000000</v>
      </c>
      <c r="DE31" s="71">
        <f>+DE$3-SUM(BC$4:BC31)</f>
        <v>0</v>
      </c>
      <c r="DF31" s="71">
        <f>+DF$3-SUM(BD$4:BD31)</f>
        <v>91000000</v>
      </c>
      <c r="DG31" s="71">
        <f>+DG$3-SUM(BE$4:BE31)</f>
        <v>56000000</v>
      </c>
      <c r="DH31" s="71">
        <f>+DH$3-SUM(BF$4:BF31)</f>
        <v>70000000</v>
      </c>
      <c r="DI31" s="71">
        <f>+DI$3-SUM(BG$4:BG31)</f>
        <v>211000000.00000003</v>
      </c>
      <c r="DJ31" s="71">
        <f>+DJ$3-SUM(BH$4:BH31)</f>
        <v>20000000</v>
      </c>
    </row>
    <row r="32" spans="1:114">
      <c r="A32" s="75">
        <v>39892</v>
      </c>
      <c r="B32" s="76">
        <f t="shared" si="3"/>
        <v>0</v>
      </c>
      <c r="C32" s="76">
        <f t="shared" si="59"/>
        <v>0</v>
      </c>
      <c r="D32" s="76">
        <f t="shared" si="59"/>
        <v>0</v>
      </c>
      <c r="E32" s="76">
        <f t="shared" si="59"/>
        <v>1763608651.3436773</v>
      </c>
      <c r="F32" s="76">
        <f t="shared" si="59"/>
        <v>1698999999.9999998</v>
      </c>
      <c r="G32" s="76">
        <f t="shared" si="59"/>
        <v>1038500000</v>
      </c>
      <c r="H32" s="76">
        <f t="shared" si="59"/>
        <v>500000000</v>
      </c>
      <c r="I32" s="76">
        <f t="shared" si="59"/>
        <v>0</v>
      </c>
      <c r="J32" s="76">
        <f t="shared" si="59"/>
        <v>167000000</v>
      </c>
      <c r="K32" s="76">
        <f t="shared" si="59"/>
        <v>23000000</v>
      </c>
      <c r="L32" s="76">
        <f t="shared" si="59"/>
        <v>0</v>
      </c>
      <c r="M32" s="76">
        <f t="shared" si="59"/>
        <v>91000000</v>
      </c>
      <c r="N32" s="76">
        <f t="shared" si="59"/>
        <v>56000000</v>
      </c>
      <c r="O32" s="76">
        <f t="shared" si="59"/>
        <v>70000000</v>
      </c>
      <c r="P32" s="76">
        <f t="shared" si="59"/>
        <v>211000000.00000003</v>
      </c>
      <c r="Q32" s="76">
        <f t="shared" si="59"/>
        <v>20000000</v>
      </c>
      <c r="S32" s="40">
        <v>39892</v>
      </c>
      <c r="T32" s="82">
        <f t="shared" si="47"/>
        <v>0</v>
      </c>
      <c r="U32" s="82">
        <f t="shared" si="62"/>
        <v>0</v>
      </c>
      <c r="V32" s="82">
        <f t="shared" si="63"/>
        <v>0</v>
      </c>
      <c r="W32" s="82">
        <f t="shared" si="64"/>
        <v>0</v>
      </c>
      <c r="X32" s="82">
        <f t="shared" si="65"/>
        <v>0</v>
      </c>
      <c r="Y32" s="82">
        <f t="shared" si="66"/>
        <v>0</v>
      </c>
      <c r="Z32" s="82">
        <f t="shared" si="67"/>
        <v>0</v>
      </c>
      <c r="AA32" s="82">
        <f t="shared" si="68"/>
        <v>0</v>
      </c>
      <c r="AB32" s="82">
        <f t="shared" si="69"/>
        <v>0</v>
      </c>
      <c r="AC32" s="82">
        <f t="shared" si="70"/>
        <v>0</v>
      </c>
      <c r="AD32" s="82">
        <f t="shared" si="71"/>
        <v>0</v>
      </c>
      <c r="AE32" s="82">
        <f t="shared" si="72"/>
        <v>0</v>
      </c>
      <c r="AF32" s="82">
        <f t="shared" si="73"/>
        <v>0</v>
      </c>
      <c r="AG32" s="82">
        <f t="shared" si="74"/>
        <v>0</v>
      </c>
      <c r="AH32" s="82">
        <f t="shared" si="75"/>
        <v>0</v>
      </c>
      <c r="AI32" s="82">
        <f t="shared" si="76"/>
        <v>0</v>
      </c>
      <c r="AJ32" s="40">
        <v>39892</v>
      </c>
      <c r="AK32" s="187">
        <f t="shared" si="8"/>
        <v>5001108651.3436775</v>
      </c>
      <c r="AL32" s="43">
        <f t="shared" si="9"/>
        <v>5001108651.3436775</v>
      </c>
      <c r="AM32" s="43">
        <f t="shared" si="10"/>
        <v>5168108651.3436775</v>
      </c>
      <c r="AN32" s="43">
        <f t="shared" si="11"/>
        <v>5191108651.3436775</v>
      </c>
      <c r="AO32" s="43">
        <f t="shared" si="12"/>
        <v>20361434605.37471</v>
      </c>
      <c r="AR32" s="40">
        <v>39892</v>
      </c>
      <c r="AS32" s="63">
        <v>0</v>
      </c>
      <c r="AT32" s="63">
        <v>0</v>
      </c>
      <c r="AU32" s="63">
        <v>0</v>
      </c>
      <c r="AV32" s="63">
        <v>0</v>
      </c>
      <c r="AW32" s="63">
        <v>0</v>
      </c>
      <c r="AX32" s="63">
        <v>0</v>
      </c>
      <c r="AY32" s="63">
        <v>0</v>
      </c>
      <c r="AZ32" s="63">
        <v>0</v>
      </c>
      <c r="BA32" s="63">
        <v>0</v>
      </c>
      <c r="BB32" s="63">
        <v>0</v>
      </c>
      <c r="BC32" s="63">
        <v>0</v>
      </c>
      <c r="BD32" s="63">
        <v>0</v>
      </c>
      <c r="BE32" s="63">
        <v>0</v>
      </c>
      <c r="BF32" s="63">
        <v>0</v>
      </c>
      <c r="BG32" s="63">
        <v>0</v>
      </c>
      <c r="BH32" s="63">
        <v>0</v>
      </c>
      <c r="BJ32" s="40">
        <v>39892</v>
      </c>
      <c r="BK32" s="43">
        <f t="shared" si="13"/>
        <v>0</v>
      </c>
      <c r="BL32" s="43">
        <f t="shared" si="14"/>
        <v>0</v>
      </c>
      <c r="BM32" s="43">
        <f t="shared" si="15"/>
        <v>0</v>
      </c>
      <c r="BN32" s="43">
        <f t="shared" si="16"/>
        <v>0</v>
      </c>
      <c r="BO32" s="43">
        <f t="shared" si="17"/>
        <v>0</v>
      </c>
      <c r="BP32" s="43">
        <f t="shared" si="18"/>
        <v>0</v>
      </c>
      <c r="BQ32" s="43">
        <f t="shared" si="19"/>
        <v>0</v>
      </c>
      <c r="BR32" s="43">
        <f t="shared" si="20"/>
        <v>0</v>
      </c>
      <c r="BS32" s="43">
        <f t="shared" si="21"/>
        <v>0</v>
      </c>
      <c r="BT32" s="43">
        <f t="shared" si="22"/>
        <v>0</v>
      </c>
      <c r="BU32" s="43">
        <f t="shared" si="23"/>
        <v>0</v>
      </c>
      <c r="BV32" s="43">
        <f t="shared" si="24"/>
        <v>0</v>
      </c>
      <c r="BW32" s="43">
        <f t="shared" si="25"/>
        <v>0</v>
      </c>
      <c r="BX32" s="43">
        <f t="shared" si="26"/>
        <v>0</v>
      </c>
      <c r="BY32" s="43">
        <f t="shared" si="27"/>
        <v>0</v>
      </c>
      <c r="BZ32" s="43">
        <f t="shared" si="28"/>
        <v>0</v>
      </c>
      <c r="CA32" s="40">
        <v>39892</v>
      </c>
      <c r="CB32" s="43">
        <f t="shared" si="77"/>
        <v>0</v>
      </c>
      <c r="CC32" s="43">
        <f t="shared" si="77"/>
        <v>0</v>
      </c>
      <c r="CD32" s="43">
        <f t="shared" si="77"/>
        <v>0</v>
      </c>
      <c r="CE32" s="43">
        <f t="shared" si="77"/>
        <v>0</v>
      </c>
      <c r="CF32" s="43">
        <f t="shared" si="77"/>
        <v>0</v>
      </c>
      <c r="CG32" s="43">
        <f t="shared" si="77"/>
        <v>0</v>
      </c>
      <c r="CH32" s="43">
        <f t="shared" si="77"/>
        <v>0</v>
      </c>
      <c r="CI32" s="43">
        <f t="shared" si="77"/>
        <v>0</v>
      </c>
      <c r="CJ32" s="43">
        <f t="shared" si="77"/>
        <v>0</v>
      </c>
      <c r="CK32" s="43">
        <f t="shared" si="77"/>
        <v>0</v>
      </c>
      <c r="CL32" s="43">
        <f t="shared" si="77"/>
        <v>0</v>
      </c>
      <c r="CM32" s="43">
        <f t="shared" si="77"/>
        <v>0</v>
      </c>
      <c r="CN32" s="43">
        <f t="shared" si="77"/>
        <v>0</v>
      </c>
      <c r="CO32" s="43">
        <f t="shared" si="77"/>
        <v>0</v>
      </c>
      <c r="CP32" s="43">
        <f t="shared" si="77"/>
        <v>0</v>
      </c>
      <c r="CQ32" s="43">
        <f t="shared" si="61"/>
        <v>0</v>
      </c>
      <c r="CR32" s="64">
        <f t="shared" si="45"/>
        <v>0</v>
      </c>
      <c r="CT32" s="40">
        <v>39892</v>
      </c>
      <c r="CU32" s="71">
        <f>+CU$3-SUM(AS$4:AS32)</f>
        <v>0</v>
      </c>
      <c r="CV32" s="71">
        <f>+CV$3-SUM(AT$4:AT32)</f>
        <v>1.0000050067901611E-2</v>
      </c>
      <c r="CW32" s="71">
        <f>+CW$3-SUM(AU$4:AU32)</f>
        <v>0</v>
      </c>
      <c r="CX32" s="71">
        <f>+CX$3-SUM(AV$4:AV32)</f>
        <v>1763608651.3399999</v>
      </c>
      <c r="CY32" s="71">
        <f>+CY$3-SUM(AW$4:AW32)</f>
        <v>1698999999.9999998</v>
      </c>
      <c r="CZ32" s="71">
        <f>+CZ$3-SUM(AX$4:AX32)</f>
        <v>1038500000</v>
      </c>
      <c r="DA32" s="71">
        <f>+DA$3-SUM(AY$4:AY32)</f>
        <v>500000000</v>
      </c>
      <c r="DB32" s="71">
        <f>+DB$3-SUM(AZ$4:AZ32)</f>
        <v>0</v>
      </c>
      <c r="DC32" s="71">
        <f>+DC$3-SUM(BA$4:BA32)</f>
        <v>167000000</v>
      </c>
      <c r="DD32" s="71">
        <f>+DD$3-SUM(BB$4:BB32)</f>
        <v>23000000</v>
      </c>
      <c r="DE32" s="71">
        <f>+DE$3-SUM(BC$4:BC32)</f>
        <v>0</v>
      </c>
      <c r="DF32" s="71">
        <f>+DF$3-SUM(BD$4:BD32)</f>
        <v>91000000</v>
      </c>
      <c r="DG32" s="71">
        <f>+DG$3-SUM(BE$4:BE32)</f>
        <v>56000000</v>
      </c>
      <c r="DH32" s="71">
        <f>+DH$3-SUM(BF$4:BF32)</f>
        <v>70000000</v>
      </c>
      <c r="DI32" s="71">
        <f>+DI$3-SUM(BG$4:BG32)</f>
        <v>211000000.00000003</v>
      </c>
      <c r="DJ32" s="71">
        <f>+DJ$3-SUM(BH$4:BH32)</f>
        <v>20000000</v>
      </c>
    </row>
    <row r="33" spans="1:114">
      <c r="A33" s="75">
        <v>39923</v>
      </c>
      <c r="B33" s="76">
        <f t="shared" si="3"/>
        <v>0</v>
      </c>
      <c r="C33" s="76">
        <f t="shared" ref="C33:Q48" si="78">+C120</f>
        <v>0</v>
      </c>
      <c r="D33" s="76">
        <f t="shared" si="78"/>
        <v>0</v>
      </c>
      <c r="E33" s="76">
        <f t="shared" si="78"/>
        <v>1763608651.3436773</v>
      </c>
      <c r="F33" s="76">
        <f t="shared" si="78"/>
        <v>1698999999.9999998</v>
      </c>
      <c r="G33" s="76">
        <f t="shared" si="78"/>
        <v>1038500000</v>
      </c>
      <c r="H33" s="76">
        <f t="shared" si="78"/>
        <v>500000000</v>
      </c>
      <c r="I33" s="76">
        <f t="shared" si="78"/>
        <v>0</v>
      </c>
      <c r="J33" s="76">
        <f t="shared" si="78"/>
        <v>167000000</v>
      </c>
      <c r="K33" s="76">
        <f t="shared" si="78"/>
        <v>23000000</v>
      </c>
      <c r="L33" s="76">
        <f t="shared" si="78"/>
        <v>0</v>
      </c>
      <c r="M33" s="76">
        <f t="shared" si="78"/>
        <v>91000000</v>
      </c>
      <c r="N33" s="76">
        <f t="shared" si="78"/>
        <v>56000000</v>
      </c>
      <c r="O33" s="76">
        <f t="shared" si="78"/>
        <v>70000000</v>
      </c>
      <c r="P33" s="76">
        <f t="shared" si="78"/>
        <v>211000000.00000003</v>
      </c>
      <c r="Q33" s="76">
        <f t="shared" si="78"/>
        <v>20000000</v>
      </c>
      <c r="S33" s="40">
        <v>39923</v>
      </c>
      <c r="T33" s="82">
        <f t="shared" si="47"/>
        <v>0</v>
      </c>
      <c r="U33" s="82">
        <f t="shared" si="62"/>
        <v>0</v>
      </c>
      <c r="V33" s="82">
        <f t="shared" si="63"/>
        <v>0</v>
      </c>
      <c r="W33" s="82">
        <f t="shared" si="64"/>
        <v>0</v>
      </c>
      <c r="X33" s="82">
        <f t="shared" si="65"/>
        <v>0</v>
      </c>
      <c r="Y33" s="82">
        <f t="shared" si="66"/>
        <v>0</v>
      </c>
      <c r="Z33" s="82">
        <f t="shared" si="67"/>
        <v>0</v>
      </c>
      <c r="AA33" s="82">
        <f t="shared" si="68"/>
        <v>0</v>
      </c>
      <c r="AB33" s="82">
        <f t="shared" si="69"/>
        <v>0</v>
      </c>
      <c r="AC33" s="82">
        <f t="shared" si="70"/>
        <v>0</v>
      </c>
      <c r="AD33" s="82">
        <f t="shared" si="71"/>
        <v>0</v>
      </c>
      <c r="AE33" s="82">
        <f t="shared" si="72"/>
        <v>0</v>
      </c>
      <c r="AF33" s="82">
        <f t="shared" si="73"/>
        <v>0</v>
      </c>
      <c r="AG33" s="82">
        <f t="shared" si="74"/>
        <v>0</v>
      </c>
      <c r="AH33" s="82">
        <f t="shared" si="75"/>
        <v>0</v>
      </c>
      <c r="AI33" s="82">
        <f t="shared" si="76"/>
        <v>0</v>
      </c>
      <c r="AJ33" s="40">
        <v>39923</v>
      </c>
      <c r="AK33" s="187">
        <f t="shared" si="8"/>
        <v>5001108651.3436775</v>
      </c>
      <c r="AL33" s="43">
        <f t="shared" si="9"/>
        <v>5001108651.3436775</v>
      </c>
      <c r="AM33" s="43">
        <f t="shared" si="10"/>
        <v>5168108651.3436775</v>
      </c>
      <c r="AN33" s="43">
        <f t="shared" si="11"/>
        <v>5191108651.3436775</v>
      </c>
      <c r="AO33" s="43">
        <f t="shared" si="12"/>
        <v>20361434605.37471</v>
      </c>
      <c r="AR33" s="40">
        <v>39923</v>
      </c>
      <c r="AS33" s="63">
        <v>0</v>
      </c>
      <c r="AT33" s="63">
        <v>0</v>
      </c>
      <c r="AU33" s="63">
        <v>0</v>
      </c>
      <c r="AV33" s="63">
        <v>0</v>
      </c>
      <c r="AW33" s="63">
        <v>0</v>
      </c>
      <c r="AX33" s="63">
        <v>0</v>
      </c>
      <c r="AY33" s="63">
        <v>0</v>
      </c>
      <c r="AZ33" s="63">
        <v>0</v>
      </c>
      <c r="BA33" s="63">
        <v>0</v>
      </c>
      <c r="BB33" s="63">
        <v>0</v>
      </c>
      <c r="BC33" s="63">
        <v>0</v>
      </c>
      <c r="BD33" s="63">
        <v>0</v>
      </c>
      <c r="BE33" s="63">
        <v>0</v>
      </c>
      <c r="BF33" s="63">
        <v>0</v>
      </c>
      <c r="BG33" s="63">
        <v>0</v>
      </c>
      <c r="BH33" s="63">
        <v>0</v>
      </c>
      <c r="BJ33" s="40">
        <v>39923</v>
      </c>
      <c r="BK33" s="43">
        <f t="shared" si="13"/>
        <v>0</v>
      </c>
      <c r="BL33" s="43">
        <f t="shared" si="14"/>
        <v>0</v>
      </c>
      <c r="BM33" s="43">
        <f t="shared" si="15"/>
        <v>0</v>
      </c>
      <c r="BN33" s="43">
        <f t="shared" si="16"/>
        <v>0</v>
      </c>
      <c r="BO33" s="43">
        <f t="shared" si="17"/>
        <v>0</v>
      </c>
      <c r="BP33" s="43">
        <f t="shared" si="18"/>
        <v>0</v>
      </c>
      <c r="BQ33" s="43">
        <f t="shared" si="19"/>
        <v>0</v>
      </c>
      <c r="BR33" s="43">
        <f t="shared" si="20"/>
        <v>0</v>
      </c>
      <c r="BS33" s="43">
        <f t="shared" si="21"/>
        <v>0</v>
      </c>
      <c r="BT33" s="43">
        <f t="shared" si="22"/>
        <v>0</v>
      </c>
      <c r="BU33" s="43">
        <f t="shared" si="23"/>
        <v>0</v>
      </c>
      <c r="BV33" s="43">
        <f t="shared" si="24"/>
        <v>0</v>
      </c>
      <c r="BW33" s="43">
        <f t="shared" si="25"/>
        <v>0</v>
      </c>
      <c r="BX33" s="43">
        <f t="shared" si="26"/>
        <v>0</v>
      </c>
      <c r="BY33" s="43">
        <f t="shared" si="27"/>
        <v>0</v>
      </c>
      <c r="BZ33" s="43">
        <f t="shared" si="28"/>
        <v>0</v>
      </c>
      <c r="CA33" s="40">
        <v>39923</v>
      </c>
      <c r="CB33" s="43">
        <f t="shared" si="77"/>
        <v>0</v>
      </c>
      <c r="CC33" s="43">
        <f t="shared" si="77"/>
        <v>0</v>
      </c>
      <c r="CD33" s="43">
        <f t="shared" si="77"/>
        <v>0</v>
      </c>
      <c r="CE33" s="43">
        <f t="shared" si="77"/>
        <v>0</v>
      </c>
      <c r="CF33" s="43">
        <f t="shared" si="77"/>
        <v>0</v>
      </c>
      <c r="CG33" s="43">
        <f t="shared" si="77"/>
        <v>0</v>
      </c>
      <c r="CH33" s="43">
        <f t="shared" si="77"/>
        <v>0</v>
      </c>
      <c r="CI33" s="43">
        <f t="shared" si="77"/>
        <v>0</v>
      </c>
      <c r="CJ33" s="43">
        <f t="shared" si="77"/>
        <v>0</v>
      </c>
      <c r="CK33" s="43">
        <f t="shared" si="77"/>
        <v>0</v>
      </c>
      <c r="CL33" s="43">
        <f t="shared" si="77"/>
        <v>0</v>
      </c>
      <c r="CM33" s="43">
        <f t="shared" si="77"/>
        <v>0</v>
      </c>
      <c r="CN33" s="43">
        <f t="shared" si="77"/>
        <v>0</v>
      </c>
      <c r="CO33" s="43">
        <f t="shared" si="77"/>
        <v>0</v>
      </c>
      <c r="CP33" s="43">
        <f t="shared" si="77"/>
        <v>0</v>
      </c>
      <c r="CQ33" s="43">
        <f t="shared" si="61"/>
        <v>0</v>
      </c>
      <c r="CR33" s="64">
        <f t="shared" si="45"/>
        <v>0</v>
      </c>
      <c r="CT33" s="40">
        <v>39923</v>
      </c>
      <c r="CU33" s="71">
        <f>+CU$3-SUM(AS$4:AS33)</f>
        <v>0</v>
      </c>
      <c r="CV33" s="71">
        <f>+CV$3-SUM(AT$4:AT33)</f>
        <v>1.0000050067901611E-2</v>
      </c>
      <c r="CW33" s="71">
        <f>+CW$3-SUM(AU$4:AU33)</f>
        <v>0</v>
      </c>
      <c r="CX33" s="71">
        <f>+CX$3-SUM(AV$4:AV33)</f>
        <v>1763608651.3399999</v>
      </c>
      <c r="CY33" s="71">
        <f>+CY$3-SUM(AW$4:AW33)</f>
        <v>1698999999.9999998</v>
      </c>
      <c r="CZ33" s="71">
        <f>+CZ$3-SUM(AX$4:AX33)</f>
        <v>1038500000</v>
      </c>
      <c r="DA33" s="71">
        <f>+DA$3-SUM(AY$4:AY33)</f>
        <v>500000000</v>
      </c>
      <c r="DB33" s="71">
        <f>+DB$3-SUM(AZ$4:AZ33)</f>
        <v>0</v>
      </c>
      <c r="DC33" s="71">
        <f>+DC$3-SUM(BA$4:BA33)</f>
        <v>167000000</v>
      </c>
      <c r="DD33" s="71">
        <f>+DD$3-SUM(BB$4:BB33)</f>
        <v>23000000</v>
      </c>
      <c r="DE33" s="71">
        <f>+DE$3-SUM(BC$4:BC33)</f>
        <v>0</v>
      </c>
      <c r="DF33" s="71">
        <f>+DF$3-SUM(BD$4:BD33)</f>
        <v>91000000</v>
      </c>
      <c r="DG33" s="71">
        <f>+DG$3-SUM(BE$4:BE33)</f>
        <v>56000000</v>
      </c>
      <c r="DH33" s="71">
        <f>+DH$3-SUM(BF$4:BF33)</f>
        <v>70000000</v>
      </c>
      <c r="DI33" s="71">
        <f>+DI$3-SUM(BG$4:BG33)</f>
        <v>211000000.00000003</v>
      </c>
      <c r="DJ33" s="71">
        <f>+DJ$3-SUM(BH$4:BH33)</f>
        <v>20000000</v>
      </c>
    </row>
    <row r="34" spans="1:114">
      <c r="A34" s="75">
        <v>39953</v>
      </c>
      <c r="B34" s="76">
        <f t="shared" si="3"/>
        <v>0</v>
      </c>
      <c r="C34" s="76">
        <f t="shared" si="78"/>
        <v>0</v>
      </c>
      <c r="D34" s="76">
        <f t="shared" si="78"/>
        <v>0</v>
      </c>
      <c r="E34" s="76">
        <f t="shared" si="78"/>
        <v>1396165760.1383629</v>
      </c>
      <c r="F34" s="76">
        <f t="shared" si="78"/>
        <v>1698999999.9999998</v>
      </c>
      <c r="G34" s="76">
        <f t="shared" si="78"/>
        <v>1038500000</v>
      </c>
      <c r="H34" s="76">
        <f t="shared" si="78"/>
        <v>500000000</v>
      </c>
      <c r="I34" s="76">
        <f t="shared" si="78"/>
        <v>0</v>
      </c>
      <c r="J34" s="76">
        <f t="shared" si="78"/>
        <v>167000000</v>
      </c>
      <c r="K34" s="76">
        <f t="shared" si="78"/>
        <v>23000000</v>
      </c>
      <c r="L34" s="76">
        <f t="shared" si="78"/>
        <v>0</v>
      </c>
      <c r="M34" s="76">
        <f t="shared" si="78"/>
        <v>91000000</v>
      </c>
      <c r="N34" s="76">
        <f t="shared" si="78"/>
        <v>56000000</v>
      </c>
      <c r="O34" s="76">
        <f t="shared" si="78"/>
        <v>70000000</v>
      </c>
      <c r="P34" s="76">
        <f t="shared" si="78"/>
        <v>211000000.00000003</v>
      </c>
      <c r="Q34" s="76">
        <f t="shared" si="78"/>
        <v>20000000</v>
      </c>
      <c r="S34" s="40">
        <v>39953</v>
      </c>
      <c r="T34" s="82">
        <f t="shared" si="47"/>
        <v>0</v>
      </c>
      <c r="U34" s="82">
        <f t="shared" si="62"/>
        <v>0</v>
      </c>
      <c r="V34" s="82">
        <f t="shared" si="63"/>
        <v>0</v>
      </c>
      <c r="W34" s="82">
        <f t="shared" si="64"/>
        <v>367442891.20999998</v>
      </c>
      <c r="X34" s="82">
        <f t="shared" si="65"/>
        <v>0</v>
      </c>
      <c r="Y34" s="82">
        <f t="shared" si="66"/>
        <v>0</v>
      </c>
      <c r="Z34" s="82">
        <f t="shared" si="67"/>
        <v>0</v>
      </c>
      <c r="AA34" s="82">
        <f t="shared" si="68"/>
        <v>0</v>
      </c>
      <c r="AB34" s="82">
        <f t="shared" si="69"/>
        <v>0</v>
      </c>
      <c r="AC34" s="82">
        <f t="shared" si="70"/>
        <v>0</v>
      </c>
      <c r="AD34" s="82">
        <f t="shared" si="71"/>
        <v>0</v>
      </c>
      <c r="AE34" s="82">
        <f t="shared" si="72"/>
        <v>0</v>
      </c>
      <c r="AF34" s="82">
        <f t="shared" si="73"/>
        <v>0</v>
      </c>
      <c r="AG34" s="82">
        <f t="shared" si="74"/>
        <v>0</v>
      </c>
      <c r="AH34" s="82">
        <f t="shared" si="75"/>
        <v>0</v>
      </c>
      <c r="AI34" s="82">
        <f t="shared" si="76"/>
        <v>0</v>
      </c>
      <c r="AJ34" s="40">
        <v>39953</v>
      </c>
      <c r="AK34" s="187">
        <f t="shared" si="8"/>
        <v>4633665760.1383629</v>
      </c>
      <c r="AL34" s="43">
        <f t="shared" si="9"/>
        <v>4633665760.1383629</v>
      </c>
      <c r="AM34" s="43">
        <f t="shared" si="10"/>
        <v>4800665760.1383629</v>
      </c>
      <c r="AN34" s="43">
        <f t="shared" si="11"/>
        <v>4823665760.1383629</v>
      </c>
      <c r="AO34" s="43">
        <f t="shared" si="12"/>
        <v>18891663040.553452</v>
      </c>
      <c r="AR34" s="40">
        <v>39953</v>
      </c>
      <c r="AS34" s="63">
        <v>0</v>
      </c>
      <c r="AT34" s="63">
        <v>0</v>
      </c>
      <c r="AU34" s="63">
        <v>0</v>
      </c>
      <c r="AV34" s="85">
        <v>367442891.20999998</v>
      </c>
      <c r="AW34" s="63">
        <v>0</v>
      </c>
      <c r="AX34" s="63">
        <v>0</v>
      </c>
      <c r="AY34" s="63">
        <v>0</v>
      </c>
      <c r="AZ34" s="63">
        <v>0</v>
      </c>
      <c r="BA34" s="63">
        <v>0</v>
      </c>
      <c r="BB34" s="63">
        <v>0</v>
      </c>
      <c r="BC34" s="63">
        <v>0</v>
      </c>
      <c r="BD34" s="63">
        <v>0</v>
      </c>
      <c r="BE34" s="63">
        <v>0</v>
      </c>
      <c r="BF34" s="63">
        <v>0</v>
      </c>
      <c r="BG34" s="63">
        <v>0</v>
      </c>
      <c r="BH34" s="63">
        <v>0</v>
      </c>
      <c r="BJ34" s="40">
        <v>39953</v>
      </c>
      <c r="BK34" s="43">
        <f t="shared" si="13"/>
        <v>0</v>
      </c>
      <c r="BL34" s="43">
        <f t="shared" si="14"/>
        <v>0</v>
      </c>
      <c r="BM34" s="43">
        <f t="shared" si="15"/>
        <v>0</v>
      </c>
      <c r="BN34" s="43">
        <f t="shared" si="16"/>
        <v>0</v>
      </c>
      <c r="BO34" s="43">
        <f t="shared" si="17"/>
        <v>0</v>
      </c>
      <c r="BP34" s="43">
        <f t="shared" si="18"/>
        <v>0</v>
      </c>
      <c r="BQ34" s="43">
        <f t="shared" si="19"/>
        <v>0</v>
      </c>
      <c r="BR34" s="43">
        <f t="shared" si="20"/>
        <v>0</v>
      </c>
      <c r="BS34" s="43">
        <f t="shared" si="21"/>
        <v>0</v>
      </c>
      <c r="BT34" s="43">
        <f t="shared" si="22"/>
        <v>0</v>
      </c>
      <c r="BU34" s="43">
        <f t="shared" si="23"/>
        <v>0</v>
      </c>
      <c r="BV34" s="43">
        <f t="shared" si="24"/>
        <v>0</v>
      </c>
      <c r="BW34" s="43">
        <f t="shared" si="25"/>
        <v>0</v>
      </c>
      <c r="BX34" s="43">
        <f t="shared" si="26"/>
        <v>0</v>
      </c>
      <c r="BY34" s="43">
        <f t="shared" si="27"/>
        <v>0</v>
      </c>
      <c r="BZ34" s="43">
        <f t="shared" si="28"/>
        <v>0</v>
      </c>
      <c r="CA34" s="40">
        <v>39953</v>
      </c>
      <c r="CB34" s="43">
        <f t="shared" si="77"/>
        <v>0</v>
      </c>
      <c r="CC34" s="43">
        <f t="shared" si="77"/>
        <v>0</v>
      </c>
      <c r="CD34" s="43">
        <f t="shared" si="77"/>
        <v>0</v>
      </c>
      <c r="CE34" s="43">
        <f t="shared" si="77"/>
        <v>0</v>
      </c>
      <c r="CF34" s="43">
        <f t="shared" si="77"/>
        <v>0</v>
      </c>
      <c r="CG34" s="43">
        <f t="shared" si="77"/>
        <v>0</v>
      </c>
      <c r="CH34" s="43">
        <f t="shared" si="77"/>
        <v>0</v>
      </c>
      <c r="CI34" s="43">
        <f t="shared" si="77"/>
        <v>0</v>
      </c>
      <c r="CJ34" s="43">
        <f t="shared" si="77"/>
        <v>0</v>
      </c>
      <c r="CK34" s="43">
        <f t="shared" si="77"/>
        <v>0</v>
      </c>
      <c r="CL34" s="43">
        <f t="shared" si="77"/>
        <v>0</v>
      </c>
      <c r="CM34" s="43">
        <f t="shared" si="77"/>
        <v>0</v>
      </c>
      <c r="CN34" s="43">
        <f t="shared" si="77"/>
        <v>0</v>
      </c>
      <c r="CO34" s="43">
        <f t="shared" si="77"/>
        <v>0</v>
      </c>
      <c r="CP34" s="43">
        <f t="shared" si="77"/>
        <v>0</v>
      </c>
      <c r="CQ34" s="43">
        <f t="shared" si="61"/>
        <v>0</v>
      </c>
      <c r="CR34" s="64">
        <f t="shared" si="45"/>
        <v>0</v>
      </c>
      <c r="CT34" s="40">
        <v>39953</v>
      </c>
      <c r="CU34" s="71">
        <f>+CU$3-SUM(AS$4:AS34)</f>
        <v>0</v>
      </c>
      <c r="CV34" s="71">
        <f>+CV$3-SUM(AT$4:AT34)</f>
        <v>1.0000050067901611E-2</v>
      </c>
      <c r="CW34" s="71">
        <f>+CW$3-SUM(AU$4:AU34)</f>
        <v>0</v>
      </c>
      <c r="CX34" s="71">
        <f>+CX$3-SUM(AV$4:AV34)</f>
        <v>1396165760.1299999</v>
      </c>
      <c r="CY34" s="71">
        <f>+CY$3-SUM(AW$4:AW34)</f>
        <v>1698999999.9999998</v>
      </c>
      <c r="CZ34" s="71">
        <f>+CZ$3-SUM(AX$4:AX34)</f>
        <v>1038500000</v>
      </c>
      <c r="DA34" s="71">
        <f>+DA$3-SUM(AY$4:AY34)</f>
        <v>500000000</v>
      </c>
      <c r="DB34" s="71">
        <f>+DB$3-SUM(AZ$4:AZ34)</f>
        <v>0</v>
      </c>
      <c r="DC34" s="71">
        <f>+DC$3-SUM(BA$4:BA34)</f>
        <v>167000000</v>
      </c>
      <c r="DD34" s="71">
        <f>+DD$3-SUM(BB$4:BB34)</f>
        <v>23000000</v>
      </c>
      <c r="DE34" s="71">
        <f>+DE$3-SUM(BC$4:BC34)</f>
        <v>0</v>
      </c>
      <c r="DF34" s="71">
        <f>+DF$3-SUM(BD$4:BD34)</f>
        <v>91000000</v>
      </c>
      <c r="DG34" s="71">
        <f>+DG$3-SUM(BE$4:BE34)</f>
        <v>56000000</v>
      </c>
      <c r="DH34" s="71">
        <f>+DH$3-SUM(BF$4:BF34)</f>
        <v>70000000</v>
      </c>
      <c r="DI34" s="71">
        <f>+DI$3-SUM(BG$4:BG34)</f>
        <v>211000000.00000003</v>
      </c>
      <c r="DJ34" s="71">
        <f>+DJ$3-SUM(BH$4:BH34)</f>
        <v>20000000</v>
      </c>
    </row>
    <row r="35" spans="1:114">
      <c r="A35" s="75">
        <v>39984</v>
      </c>
      <c r="B35" s="76">
        <f t="shared" si="3"/>
        <v>0</v>
      </c>
      <c r="C35" s="76">
        <f t="shared" si="78"/>
        <v>0</v>
      </c>
      <c r="D35" s="76">
        <f t="shared" si="78"/>
        <v>0</v>
      </c>
      <c r="E35" s="76">
        <f t="shared" si="78"/>
        <v>1396165760.1383629</v>
      </c>
      <c r="F35" s="76">
        <f t="shared" si="78"/>
        <v>1698999999.9999998</v>
      </c>
      <c r="G35" s="76">
        <f t="shared" si="78"/>
        <v>1038500000</v>
      </c>
      <c r="H35" s="76">
        <f t="shared" si="78"/>
        <v>500000000</v>
      </c>
      <c r="I35" s="76">
        <f t="shared" si="78"/>
        <v>0</v>
      </c>
      <c r="J35" s="76">
        <f t="shared" si="78"/>
        <v>167000000</v>
      </c>
      <c r="K35" s="76">
        <f t="shared" si="78"/>
        <v>23000000</v>
      </c>
      <c r="L35" s="76">
        <f t="shared" si="78"/>
        <v>0</v>
      </c>
      <c r="M35" s="76">
        <f t="shared" si="78"/>
        <v>91000000</v>
      </c>
      <c r="N35" s="76">
        <f t="shared" si="78"/>
        <v>56000000</v>
      </c>
      <c r="O35" s="76">
        <f t="shared" si="78"/>
        <v>70000000</v>
      </c>
      <c r="P35" s="76">
        <f t="shared" si="78"/>
        <v>211000000.00000003</v>
      </c>
      <c r="Q35" s="76">
        <f t="shared" si="78"/>
        <v>20000000</v>
      </c>
      <c r="S35" s="40">
        <v>39984</v>
      </c>
      <c r="T35" s="82">
        <f t="shared" si="47"/>
        <v>0</v>
      </c>
      <c r="U35" s="82">
        <f t="shared" si="62"/>
        <v>0</v>
      </c>
      <c r="V35" s="82">
        <f t="shared" si="63"/>
        <v>0</v>
      </c>
      <c r="W35" s="82">
        <f t="shared" si="64"/>
        <v>0</v>
      </c>
      <c r="X35" s="82">
        <f t="shared" si="65"/>
        <v>0</v>
      </c>
      <c r="Y35" s="82">
        <f t="shared" si="66"/>
        <v>0</v>
      </c>
      <c r="Z35" s="82">
        <f t="shared" si="67"/>
        <v>0</v>
      </c>
      <c r="AA35" s="82">
        <f t="shared" si="68"/>
        <v>0</v>
      </c>
      <c r="AB35" s="82">
        <f t="shared" si="69"/>
        <v>0</v>
      </c>
      <c r="AC35" s="82">
        <f t="shared" si="70"/>
        <v>0</v>
      </c>
      <c r="AD35" s="82">
        <f t="shared" si="71"/>
        <v>0</v>
      </c>
      <c r="AE35" s="82">
        <f t="shared" si="72"/>
        <v>0</v>
      </c>
      <c r="AF35" s="82">
        <f t="shared" si="73"/>
        <v>0</v>
      </c>
      <c r="AG35" s="82">
        <f t="shared" si="74"/>
        <v>0</v>
      </c>
      <c r="AH35" s="82">
        <f t="shared" si="75"/>
        <v>0</v>
      </c>
      <c r="AI35" s="82">
        <f t="shared" si="76"/>
        <v>0</v>
      </c>
      <c r="AJ35" s="40">
        <v>39984</v>
      </c>
      <c r="AK35" s="187">
        <f t="shared" si="8"/>
        <v>4633665760.1383629</v>
      </c>
      <c r="AL35" s="43">
        <f t="shared" si="9"/>
        <v>4633665760.1383629</v>
      </c>
      <c r="AM35" s="43">
        <f t="shared" si="10"/>
        <v>4800665760.1383629</v>
      </c>
      <c r="AN35" s="43">
        <f t="shared" si="11"/>
        <v>4823665760.1383629</v>
      </c>
      <c r="AO35" s="43">
        <f t="shared" si="12"/>
        <v>18891663040.553452</v>
      </c>
      <c r="AR35" s="40">
        <v>39984</v>
      </c>
      <c r="AS35" s="63">
        <v>0</v>
      </c>
      <c r="AT35" s="63">
        <v>0</v>
      </c>
      <c r="AU35" s="63">
        <v>0</v>
      </c>
      <c r="AV35" s="63">
        <v>0</v>
      </c>
      <c r="AW35" s="63">
        <v>0</v>
      </c>
      <c r="AX35" s="63">
        <v>0</v>
      </c>
      <c r="AY35" s="63">
        <v>0</v>
      </c>
      <c r="AZ35" s="63">
        <v>0</v>
      </c>
      <c r="BA35" s="63">
        <v>0</v>
      </c>
      <c r="BB35" s="63">
        <v>0</v>
      </c>
      <c r="BC35" s="63">
        <v>0</v>
      </c>
      <c r="BD35" s="63">
        <v>0</v>
      </c>
      <c r="BE35" s="63">
        <v>0</v>
      </c>
      <c r="BF35" s="63">
        <v>0</v>
      </c>
      <c r="BG35" s="63">
        <v>0</v>
      </c>
      <c r="BH35" s="63">
        <v>0</v>
      </c>
      <c r="BJ35" s="40">
        <v>39984</v>
      </c>
      <c r="BK35" s="43">
        <f t="shared" si="13"/>
        <v>0</v>
      </c>
      <c r="BL35" s="43">
        <f t="shared" si="14"/>
        <v>0</v>
      </c>
      <c r="BM35" s="43">
        <f t="shared" si="15"/>
        <v>0</v>
      </c>
      <c r="BN35" s="43">
        <f t="shared" si="16"/>
        <v>0</v>
      </c>
      <c r="BO35" s="43">
        <f t="shared" si="17"/>
        <v>0</v>
      </c>
      <c r="BP35" s="43">
        <f t="shared" si="18"/>
        <v>0</v>
      </c>
      <c r="BQ35" s="43">
        <f t="shared" si="19"/>
        <v>0</v>
      </c>
      <c r="BR35" s="43">
        <f t="shared" si="20"/>
        <v>0</v>
      </c>
      <c r="BS35" s="43">
        <f t="shared" si="21"/>
        <v>0</v>
      </c>
      <c r="BT35" s="43">
        <f t="shared" si="22"/>
        <v>0</v>
      </c>
      <c r="BU35" s="43">
        <f t="shared" si="23"/>
        <v>0</v>
      </c>
      <c r="BV35" s="43">
        <f t="shared" si="24"/>
        <v>0</v>
      </c>
      <c r="BW35" s="43">
        <f t="shared" si="25"/>
        <v>0</v>
      </c>
      <c r="BX35" s="43">
        <f t="shared" si="26"/>
        <v>0</v>
      </c>
      <c r="BY35" s="43">
        <f t="shared" si="27"/>
        <v>0</v>
      </c>
      <c r="BZ35" s="43">
        <f t="shared" si="28"/>
        <v>0</v>
      </c>
      <c r="CA35" s="40">
        <v>39984</v>
      </c>
      <c r="CB35" s="43">
        <f t="shared" si="77"/>
        <v>0</v>
      </c>
      <c r="CC35" s="43">
        <f t="shared" si="77"/>
        <v>0</v>
      </c>
      <c r="CD35" s="43">
        <f t="shared" si="77"/>
        <v>0</v>
      </c>
      <c r="CE35" s="43">
        <f t="shared" si="77"/>
        <v>0</v>
      </c>
      <c r="CF35" s="43">
        <f t="shared" si="77"/>
        <v>0</v>
      </c>
      <c r="CG35" s="43">
        <f t="shared" si="77"/>
        <v>0</v>
      </c>
      <c r="CH35" s="43">
        <f t="shared" si="77"/>
        <v>0</v>
      </c>
      <c r="CI35" s="43">
        <f t="shared" si="77"/>
        <v>0</v>
      </c>
      <c r="CJ35" s="43">
        <f t="shared" si="77"/>
        <v>0</v>
      </c>
      <c r="CK35" s="43">
        <f t="shared" si="77"/>
        <v>0</v>
      </c>
      <c r="CL35" s="43">
        <f t="shared" si="77"/>
        <v>0</v>
      </c>
      <c r="CM35" s="43">
        <f t="shared" si="77"/>
        <v>0</v>
      </c>
      <c r="CN35" s="43">
        <f t="shared" si="77"/>
        <v>0</v>
      </c>
      <c r="CO35" s="43">
        <f t="shared" si="77"/>
        <v>0</v>
      </c>
      <c r="CP35" s="43">
        <f t="shared" si="77"/>
        <v>0</v>
      </c>
      <c r="CQ35" s="43">
        <f t="shared" si="61"/>
        <v>0</v>
      </c>
      <c r="CR35" s="64">
        <f t="shared" si="45"/>
        <v>0</v>
      </c>
      <c r="CT35" s="40">
        <v>39984</v>
      </c>
      <c r="CU35" s="71">
        <f>+CU$3-SUM(AS$4:AS35)</f>
        <v>0</v>
      </c>
      <c r="CV35" s="71">
        <f>+CV$3-SUM(AT$4:AT35)</f>
        <v>1.0000050067901611E-2</v>
      </c>
      <c r="CW35" s="71">
        <f>+CW$3-SUM(AU$4:AU35)</f>
        <v>0</v>
      </c>
      <c r="CX35" s="71">
        <f>+CX$3-SUM(AV$4:AV35)</f>
        <v>1396165760.1299999</v>
      </c>
      <c r="CY35" s="71">
        <f>+CY$3-SUM(AW$4:AW35)</f>
        <v>1698999999.9999998</v>
      </c>
      <c r="CZ35" s="71">
        <f>+CZ$3-SUM(AX$4:AX35)</f>
        <v>1038500000</v>
      </c>
      <c r="DA35" s="71">
        <f>+DA$3-SUM(AY$4:AY35)</f>
        <v>500000000</v>
      </c>
      <c r="DB35" s="71">
        <f>+DB$3-SUM(AZ$4:AZ35)</f>
        <v>0</v>
      </c>
      <c r="DC35" s="71">
        <f>+DC$3-SUM(BA$4:BA35)</f>
        <v>167000000</v>
      </c>
      <c r="DD35" s="71">
        <f>+DD$3-SUM(BB$4:BB35)</f>
        <v>23000000</v>
      </c>
      <c r="DE35" s="71">
        <f>+DE$3-SUM(BC$4:BC35)</f>
        <v>0</v>
      </c>
      <c r="DF35" s="71">
        <f>+DF$3-SUM(BD$4:BD35)</f>
        <v>91000000</v>
      </c>
      <c r="DG35" s="71">
        <f>+DG$3-SUM(BE$4:BE35)</f>
        <v>56000000</v>
      </c>
      <c r="DH35" s="71">
        <f>+DH$3-SUM(BF$4:BF35)</f>
        <v>70000000</v>
      </c>
      <c r="DI35" s="71">
        <f>+DI$3-SUM(BG$4:BG35)</f>
        <v>211000000.00000003</v>
      </c>
      <c r="DJ35" s="71">
        <f>+DJ$3-SUM(BH$4:BH35)</f>
        <v>20000000</v>
      </c>
    </row>
    <row r="36" spans="1:114">
      <c r="A36" s="75">
        <v>40014</v>
      </c>
      <c r="B36" s="76">
        <f t="shared" si="3"/>
        <v>0</v>
      </c>
      <c r="C36" s="76">
        <f t="shared" si="78"/>
        <v>0</v>
      </c>
      <c r="D36" s="76">
        <f t="shared" si="78"/>
        <v>0</v>
      </c>
      <c r="E36" s="76">
        <f t="shared" si="78"/>
        <v>1396165760.1383629</v>
      </c>
      <c r="F36" s="76">
        <f t="shared" si="78"/>
        <v>1698999999.9999998</v>
      </c>
      <c r="G36" s="76">
        <f t="shared" si="78"/>
        <v>1038500000</v>
      </c>
      <c r="H36" s="76">
        <f t="shared" si="78"/>
        <v>500000000</v>
      </c>
      <c r="I36" s="76">
        <f t="shared" si="78"/>
        <v>0</v>
      </c>
      <c r="J36" s="76">
        <f t="shared" si="78"/>
        <v>167000000</v>
      </c>
      <c r="K36" s="76">
        <f t="shared" si="78"/>
        <v>23000000</v>
      </c>
      <c r="L36" s="76">
        <f t="shared" si="78"/>
        <v>0</v>
      </c>
      <c r="M36" s="76">
        <f t="shared" si="78"/>
        <v>91000000</v>
      </c>
      <c r="N36" s="76">
        <f t="shared" si="78"/>
        <v>56000000</v>
      </c>
      <c r="O36" s="76">
        <f t="shared" si="78"/>
        <v>70000000</v>
      </c>
      <c r="P36" s="76">
        <f t="shared" si="78"/>
        <v>211000000.00000003</v>
      </c>
      <c r="Q36" s="76">
        <f t="shared" si="78"/>
        <v>20000000</v>
      </c>
      <c r="S36" s="40">
        <v>40014</v>
      </c>
      <c r="T36" s="82">
        <f t="shared" si="47"/>
        <v>0</v>
      </c>
      <c r="U36" s="82">
        <f t="shared" si="62"/>
        <v>0</v>
      </c>
      <c r="V36" s="82">
        <f t="shared" si="63"/>
        <v>0</v>
      </c>
      <c r="W36" s="82">
        <f t="shared" si="64"/>
        <v>0</v>
      </c>
      <c r="X36" s="82">
        <f t="shared" si="65"/>
        <v>0</v>
      </c>
      <c r="Y36" s="82">
        <f t="shared" si="66"/>
        <v>0</v>
      </c>
      <c r="Z36" s="82">
        <f t="shared" si="67"/>
        <v>0</v>
      </c>
      <c r="AA36" s="82">
        <f t="shared" si="68"/>
        <v>0</v>
      </c>
      <c r="AB36" s="82">
        <f t="shared" si="69"/>
        <v>0</v>
      </c>
      <c r="AC36" s="82">
        <f t="shared" si="70"/>
        <v>0</v>
      </c>
      <c r="AD36" s="82">
        <f t="shared" si="71"/>
        <v>0</v>
      </c>
      <c r="AE36" s="82">
        <f t="shared" si="72"/>
        <v>0</v>
      </c>
      <c r="AF36" s="82">
        <f t="shared" si="73"/>
        <v>0</v>
      </c>
      <c r="AG36" s="82">
        <f t="shared" si="74"/>
        <v>0</v>
      </c>
      <c r="AH36" s="82">
        <f t="shared" si="75"/>
        <v>0</v>
      </c>
      <c r="AI36" s="82">
        <f t="shared" si="76"/>
        <v>0</v>
      </c>
      <c r="AJ36" s="40">
        <v>40014</v>
      </c>
      <c r="AK36" s="187">
        <f t="shared" si="8"/>
        <v>4633665760.1383629</v>
      </c>
      <c r="AL36" s="43">
        <f t="shared" si="9"/>
        <v>4633665760.1383629</v>
      </c>
      <c r="AM36" s="43">
        <f t="shared" si="10"/>
        <v>4800665760.1383629</v>
      </c>
      <c r="AN36" s="43">
        <f t="shared" si="11"/>
        <v>4823665760.1383629</v>
      </c>
      <c r="AO36" s="43">
        <f t="shared" si="12"/>
        <v>18891663040.553452</v>
      </c>
      <c r="AR36" s="40">
        <v>40014</v>
      </c>
      <c r="AS36" s="63">
        <v>0</v>
      </c>
      <c r="AT36" s="63">
        <v>0</v>
      </c>
      <c r="AU36" s="63">
        <v>0</v>
      </c>
      <c r="AV36" s="63">
        <v>0</v>
      </c>
      <c r="AW36" s="63">
        <v>0</v>
      </c>
      <c r="AX36" s="63">
        <v>0</v>
      </c>
      <c r="AY36" s="63">
        <v>0</v>
      </c>
      <c r="AZ36" s="63">
        <v>0</v>
      </c>
      <c r="BA36" s="63">
        <v>0</v>
      </c>
      <c r="BB36" s="63">
        <v>0</v>
      </c>
      <c r="BC36" s="63">
        <v>0</v>
      </c>
      <c r="BD36" s="63">
        <v>0</v>
      </c>
      <c r="BE36" s="63">
        <v>0</v>
      </c>
      <c r="BF36" s="63">
        <v>0</v>
      </c>
      <c r="BG36" s="63">
        <v>0</v>
      </c>
      <c r="BH36" s="63">
        <v>0</v>
      </c>
      <c r="BJ36" s="40">
        <v>40014</v>
      </c>
      <c r="BK36" s="43">
        <f t="shared" si="13"/>
        <v>0</v>
      </c>
      <c r="BL36" s="43">
        <f t="shared" si="14"/>
        <v>0</v>
      </c>
      <c r="BM36" s="43">
        <f t="shared" si="15"/>
        <v>0</v>
      </c>
      <c r="BN36" s="43">
        <f t="shared" si="16"/>
        <v>0</v>
      </c>
      <c r="BO36" s="43">
        <f t="shared" si="17"/>
        <v>0</v>
      </c>
      <c r="BP36" s="43">
        <f t="shared" si="18"/>
        <v>0</v>
      </c>
      <c r="BQ36" s="43">
        <f t="shared" si="19"/>
        <v>0</v>
      </c>
      <c r="BR36" s="43">
        <f t="shared" si="20"/>
        <v>0</v>
      </c>
      <c r="BS36" s="43">
        <f t="shared" si="21"/>
        <v>0</v>
      </c>
      <c r="BT36" s="43">
        <f t="shared" si="22"/>
        <v>0</v>
      </c>
      <c r="BU36" s="43">
        <f t="shared" si="23"/>
        <v>0</v>
      </c>
      <c r="BV36" s="43">
        <f t="shared" si="24"/>
        <v>0</v>
      </c>
      <c r="BW36" s="43">
        <f t="shared" si="25"/>
        <v>0</v>
      </c>
      <c r="BX36" s="43">
        <f t="shared" si="26"/>
        <v>0</v>
      </c>
      <c r="BY36" s="43">
        <f t="shared" si="27"/>
        <v>0</v>
      </c>
      <c r="BZ36" s="43">
        <f t="shared" si="28"/>
        <v>0</v>
      </c>
      <c r="CA36" s="40">
        <v>40014</v>
      </c>
      <c r="CB36" s="43">
        <f t="shared" si="77"/>
        <v>0</v>
      </c>
      <c r="CC36" s="43">
        <f t="shared" si="77"/>
        <v>0</v>
      </c>
      <c r="CD36" s="43">
        <f t="shared" si="77"/>
        <v>0</v>
      </c>
      <c r="CE36" s="43">
        <f t="shared" si="77"/>
        <v>0</v>
      </c>
      <c r="CF36" s="43">
        <f t="shared" si="77"/>
        <v>0</v>
      </c>
      <c r="CG36" s="43">
        <f t="shared" si="77"/>
        <v>0</v>
      </c>
      <c r="CH36" s="43">
        <f t="shared" si="77"/>
        <v>0</v>
      </c>
      <c r="CI36" s="43">
        <f t="shared" si="77"/>
        <v>0</v>
      </c>
      <c r="CJ36" s="43">
        <f t="shared" si="77"/>
        <v>0</v>
      </c>
      <c r="CK36" s="43">
        <f t="shared" si="77"/>
        <v>0</v>
      </c>
      <c r="CL36" s="43">
        <f t="shared" si="77"/>
        <v>0</v>
      </c>
      <c r="CM36" s="43">
        <f t="shared" si="77"/>
        <v>0</v>
      </c>
      <c r="CN36" s="43">
        <f t="shared" si="77"/>
        <v>0</v>
      </c>
      <c r="CO36" s="43">
        <f t="shared" si="77"/>
        <v>0</v>
      </c>
      <c r="CP36" s="43">
        <f t="shared" si="77"/>
        <v>0</v>
      </c>
      <c r="CQ36" s="43">
        <f t="shared" si="61"/>
        <v>0</v>
      </c>
      <c r="CR36" s="64">
        <f t="shared" si="45"/>
        <v>0</v>
      </c>
      <c r="CT36" s="40">
        <v>40014</v>
      </c>
      <c r="CU36" s="71">
        <f>+CU$3-SUM(AS$4:AS36)</f>
        <v>0</v>
      </c>
      <c r="CV36" s="71">
        <f>+CV$3-SUM(AT$4:AT36)</f>
        <v>1.0000050067901611E-2</v>
      </c>
      <c r="CW36" s="71">
        <f>+CW$3-SUM(AU$4:AU36)</f>
        <v>0</v>
      </c>
      <c r="CX36" s="71">
        <f>+CX$3-SUM(AV$4:AV36)</f>
        <v>1396165760.1299999</v>
      </c>
      <c r="CY36" s="71">
        <f>+CY$3-SUM(AW$4:AW36)</f>
        <v>1698999999.9999998</v>
      </c>
      <c r="CZ36" s="71">
        <f>+CZ$3-SUM(AX$4:AX36)</f>
        <v>1038500000</v>
      </c>
      <c r="DA36" s="71">
        <f>+DA$3-SUM(AY$4:AY36)</f>
        <v>500000000</v>
      </c>
      <c r="DB36" s="71">
        <f>+DB$3-SUM(AZ$4:AZ36)</f>
        <v>0</v>
      </c>
      <c r="DC36" s="71">
        <f>+DC$3-SUM(BA$4:BA36)</f>
        <v>167000000</v>
      </c>
      <c r="DD36" s="71">
        <f>+DD$3-SUM(BB$4:BB36)</f>
        <v>23000000</v>
      </c>
      <c r="DE36" s="71">
        <f>+DE$3-SUM(BC$4:BC36)</f>
        <v>0</v>
      </c>
      <c r="DF36" s="71">
        <f>+DF$3-SUM(BD$4:BD36)</f>
        <v>91000000</v>
      </c>
      <c r="DG36" s="71">
        <f>+DG$3-SUM(BE$4:BE36)</f>
        <v>56000000</v>
      </c>
      <c r="DH36" s="71">
        <f>+DH$3-SUM(BF$4:BF36)</f>
        <v>70000000</v>
      </c>
      <c r="DI36" s="71">
        <f>+DI$3-SUM(BG$4:BG36)</f>
        <v>211000000.00000003</v>
      </c>
      <c r="DJ36" s="71">
        <f>+DJ$3-SUM(BH$4:BH36)</f>
        <v>20000000</v>
      </c>
    </row>
    <row r="37" spans="1:114">
      <c r="A37" s="75">
        <v>40045</v>
      </c>
      <c r="B37" s="76">
        <f t="shared" si="3"/>
        <v>0</v>
      </c>
      <c r="C37" s="76">
        <f t="shared" si="78"/>
        <v>0</v>
      </c>
      <c r="D37" s="76">
        <f t="shared" si="78"/>
        <v>0</v>
      </c>
      <c r="E37" s="76">
        <f t="shared" si="78"/>
        <v>1048659728.9930698</v>
      </c>
      <c r="F37" s="76">
        <f t="shared" si="78"/>
        <v>1698999999.9999998</v>
      </c>
      <c r="G37" s="76">
        <f t="shared" si="78"/>
        <v>1038500000</v>
      </c>
      <c r="H37" s="76">
        <f t="shared" si="78"/>
        <v>500000000</v>
      </c>
      <c r="I37" s="76">
        <f t="shared" si="78"/>
        <v>0</v>
      </c>
      <c r="J37" s="76">
        <f t="shared" si="78"/>
        <v>167000000</v>
      </c>
      <c r="K37" s="76">
        <f t="shared" si="78"/>
        <v>23000000</v>
      </c>
      <c r="L37" s="76">
        <f t="shared" si="78"/>
        <v>0</v>
      </c>
      <c r="M37" s="76">
        <f t="shared" si="78"/>
        <v>91000000</v>
      </c>
      <c r="N37" s="76">
        <f t="shared" si="78"/>
        <v>56000000</v>
      </c>
      <c r="O37" s="76">
        <f t="shared" si="78"/>
        <v>70000000</v>
      </c>
      <c r="P37" s="76">
        <f t="shared" si="78"/>
        <v>211000000.00000003</v>
      </c>
      <c r="Q37" s="76">
        <f t="shared" si="78"/>
        <v>20000000</v>
      </c>
      <c r="S37" s="588">
        <v>40045</v>
      </c>
      <c r="T37" s="589">
        <f t="shared" si="47"/>
        <v>0</v>
      </c>
      <c r="U37" s="589">
        <f t="shared" si="62"/>
        <v>0</v>
      </c>
      <c r="V37" s="589">
        <f t="shared" si="63"/>
        <v>0</v>
      </c>
      <c r="W37" s="589">
        <f t="shared" si="64"/>
        <v>347506031.14999998</v>
      </c>
      <c r="X37" s="589">
        <f t="shared" si="65"/>
        <v>0</v>
      </c>
      <c r="Y37" s="589">
        <f t="shared" si="66"/>
        <v>0</v>
      </c>
      <c r="Z37" s="589">
        <f t="shared" si="67"/>
        <v>0</v>
      </c>
      <c r="AA37" s="589">
        <f t="shared" si="68"/>
        <v>0</v>
      </c>
      <c r="AB37" s="589">
        <f t="shared" si="69"/>
        <v>0</v>
      </c>
      <c r="AC37" s="589">
        <f t="shared" si="70"/>
        <v>0</v>
      </c>
      <c r="AD37" s="589">
        <f t="shared" si="71"/>
        <v>0</v>
      </c>
      <c r="AE37" s="589">
        <f t="shared" si="72"/>
        <v>0</v>
      </c>
      <c r="AF37" s="589">
        <f t="shared" si="73"/>
        <v>0</v>
      </c>
      <c r="AG37" s="589">
        <f t="shared" si="74"/>
        <v>0</v>
      </c>
      <c r="AH37" s="589">
        <f t="shared" si="75"/>
        <v>0</v>
      </c>
      <c r="AI37" s="589">
        <f t="shared" si="76"/>
        <v>0</v>
      </c>
      <c r="AJ37" s="40">
        <v>40045</v>
      </c>
      <c r="AK37" s="187">
        <f t="shared" si="8"/>
        <v>4286159728.9930696</v>
      </c>
      <c r="AL37" s="43">
        <f t="shared" si="9"/>
        <v>4286159728.9930696</v>
      </c>
      <c r="AM37" s="43">
        <f t="shared" si="10"/>
        <v>4453159728.9930696</v>
      </c>
      <c r="AN37" s="43">
        <f t="shared" si="11"/>
        <v>4476159728.9930696</v>
      </c>
      <c r="AO37" s="43">
        <f t="shared" si="12"/>
        <v>17501638915.972279</v>
      </c>
      <c r="AR37" s="40">
        <v>40045</v>
      </c>
      <c r="AS37" s="63">
        <v>0</v>
      </c>
      <c r="AT37" s="63">
        <v>0</v>
      </c>
      <c r="AU37" s="63">
        <v>0</v>
      </c>
      <c r="AV37" s="85">
        <v>347506031.14999998</v>
      </c>
      <c r="AW37" s="63">
        <v>0</v>
      </c>
      <c r="AX37" s="63">
        <v>0</v>
      </c>
      <c r="AY37" s="63">
        <v>0</v>
      </c>
      <c r="AZ37" s="63">
        <v>0</v>
      </c>
      <c r="BA37" s="63">
        <v>0</v>
      </c>
      <c r="BB37" s="63">
        <v>0</v>
      </c>
      <c r="BC37" s="63">
        <v>0</v>
      </c>
      <c r="BD37" s="63">
        <v>0</v>
      </c>
      <c r="BE37" s="63">
        <v>0</v>
      </c>
      <c r="BF37" s="63">
        <v>0</v>
      </c>
      <c r="BG37" s="63">
        <v>0</v>
      </c>
      <c r="BH37" s="63">
        <v>0</v>
      </c>
      <c r="BJ37" s="40">
        <v>40045</v>
      </c>
      <c r="BK37" s="43">
        <f t="shared" si="13"/>
        <v>0</v>
      </c>
      <c r="BL37" s="43">
        <f t="shared" si="14"/>
        <v>0</v>
      </c>
      <c r="BM37" s="43">
        <f t="shared" si="15"/>
        <v>0</v>
      </c>
      <c r="BN37" s="43">
        <f t="shared" si="16"/>
        <v>0</v>
      </c>
      <c r="BO37" s="43">
        <f t="shared" si="17"/>
        <v>0</v>
      </c>
      <c r="BP37" s="43">
        <f t="shared" si="18"/>
        <v>0</v>
      </c>
      <c r="BQ37" s="43">
        <f t="shared" si="19"/>
        <v>0</v>
      </c>
      <c r="BR37" s="43">
        <f t="shared" si="20"/>
        <v>0</v>
      </c>
      <c r="BS37" s="43">
        <f t="shared" si="21"/>
        <v>0</v>
      </c>
      <c r="BT37" s="43">
        <f t="shared" si="22"/>
        <v>0</v>
      </c>
      <c r="BU37" s="43">
        <f t="shared" si="23"/>
        <v>0</v>
      </c>
      <c r="BV37" s="43">
        <f t="shared" si="24"/>
        <v>0</v>
      </c>
      <c r="BW37" s="43">
        <f t="shared" si="25"/>
        <v>0</v>
      </c>
      <c r="BX37" s="43">
        <f t="shared" si="26"/>
        <v>0</v>
      </c>
      <c r="BY37" s="43">
        <f t="shared" si="27"/>
        <v>0</v>
      </c>
      <c r="BZ37" s="43">
        <f t="shared" si="28"/>
        <v>0</v>
      </c>
      <c r="CA37" s="40">
        <v>40045</v>
      </c>
      <c r="CB37" s="43">
        <f t="shared" si="77"/>
        <v>0</v>
      </c>
      <c r="CC37" s="43">
        <f t="shared" si="77"/>
        <v>0</v>
      </c>
      <c r="CD37" s="43">
        <f t="shared" si="77"/>
        <v>0</v>
      </c>
      <c r="CE37" s="43">
        <f t="shared" si="77"/>
        <v>0</v>
      </c>
      <c r="CF37" s="43">
        <f t="shared" si="77"/>
        <v>0</v>
      </c>
      <c r="CG37" s="43">
        <f t="shared" si="77"/>
        <v>0</v>
      </c>
      <c r="CH37" s="43">
        <f t="shared" si="77"/>
        <v>0</v>
      </c>
      <c r="CI37" s="43">
        <f t="shared" si="77"/>
        <v>0</v>
      </c>
      <c r="CJ37" s="43">
        <f t="shared" si="77"/>
        <v>0</v>
      </c>
      <c r="CK37" s="43">
        <f t="shared" si="77"/>
        <v>0</v>
      </c>
      <c r="CL37" s="43">
        <f t="shared" si="77"/>
        <v>0</v>
      </c>
      <c r="CM37" s="43">
        <f t="shared" si="77"/>
        <v>0</v>
      </c>
      <c r="CN37" s="43">
        <f t="shared" si="77"/>
        <v>0</v>
      </c>
      <c r="CO37" s="43">
        <f t="shared" si="77"/>
        <v>0</v>
      </c>
      <c r="CP37" s="43">
        <f t="shared" si="77"/>
        <v>0</v>
      </c>
      <c r="CQ37" s="43">
        <f t="shared" si="61"/>
        <v>0</v>
      </c>
      <c r="CR37" s="64">
        <f t="shared" si="45"/>
        <v>0</v>
      </c>
      <c r="CT37" s="40">
        <v>40045</v>
      </c>
      <c r="CU37" s="71">
        <f>+CU$3-SUM(AS$4:AS37)</f>
        <v>0</v>
      </c>
      <c r="CV37" s="71">
        <f>+CV$3-SUM(AT$4:AT37)</f>
        <v>1.0000050067901611E-2</v>
      </c>
      <c r="CW37" s="71">
        <f>+CW$3-SUM(AU$4:AU37)</f>
        <v>0</v>
      </c>
      <c r="CX37" s="71">
        <f>+CX$3-SUM(AV$4:AV37)</f>
        <v>1048659728.98</v>
      </c>
      <c r="CY37" s="71">
        <f>+CY$3-SUM(AW$4:AW37)</f>
        <v>1698999999.9999998</v>
      </c>
      <c r="CZ37" s="71">
        <f>+CZ$3-SUM(AX$4:AX37)</f>
        <v>1038500000</v>
      </c>
      <c r="DA37" s="71">
        <f>+DA$3-SUM(AY$4:AY37)</f>
        <v>500000000</v>
      </c>
      <c r="DB37" s="71">
        <f>+DB$3-SUM(AZ$4:AZ37)</f>
        <v>0</v>
      </c>
      <c r="DC37" s="71">
        <f>+DC$3-SUM(BA$4:BA37)</f>
        <v>167000000</v>
      </c>
      <c r="DD37" s="71">
        <f>+DD$3-SUM(BB$4:BB37)</f>
        <v>23000000</v>
      </c>
      <c r="DE37" s="71">
        <f>+DE$3-SUM(BC$4:BC37)</f>
        <v>0</v>
      </c>
      <c r="DF37" s="71">
        <f>+DF$3-SUM(BD$4:BD37)</f>
        <v>91000000</v>
      </c>
      <c r="DG37" s="71">
        <f>+DG$3-SUM(BE$4:BE37)</f>
        <v>56000000</v>
      </c>
      <c r="DH37" s="71">
        <f>+DH$3-SUM(BF$4:BF37)</f>
        <v>70000000</v>
      </c>
      <c r="DI37" s="71">
        <f>+DI$3-SUM(BG$4:BG37)</f>
        <v>211000000.00000003</v>
      </c>
      <c r="DJ37" s="71">
        <f>+DJ$3-SUM(BH$4:BH37)</f>
        <v>20000000</v>
      </c>
    </row>
    <row r="38" spans="1:114">
      <c r="A38" s="75">
        <v>40076</v>
      </c>
      <c r="B38" s="76">
        <f t="shared" ref="B38:B67" si="79">+B125</f>
        <v>0</v>
      </c>
      <c r="C38" s="76">
        <f t="shared" si="78"/>
        <v>0</v>
      </c>
      <c r="D38" s="76">
        <f t="shared" si="78"/>
        <v>0</v>
      </c>
      <c r="E38" s="76">
        <f t="shared" si="78"/>
        <v>1048659728.9930698</v>
      </c>
      <c r="F38" s="76">
        <f t="shared" si="78"/>
        <v>1698999999.9999998</v>
      </c>
      <c r="G38" s="76">
        <f t="shared" si="78"/>
        <v>1038500000</v>
      </c>
      <c r="H38" s="76">
        <f t="shared" si="78"/>
        <v>500000000</v>
      </c>
      <c r="I38" s="76">
        <f t="shared" si="78"/>
        <v>0</v>
      </c>
      <c r="J38" s="76">
        <f t="shared" si="78"/>
        <v>167000000</v>
      </c>
      <c r="K38" s="76">
        <f t="shared" si="78"/>
        <v>23000000</v>
      </c>
      <c r="L38" s="76">
        <f t="shared" si="78"/>
        <v>0</v>
      </c>
      <c r="M38" s="76">
        <f t="shared" si="78"/>
        <v>91000000</v>
      </c>
      <c r="N38" s="76">
        <f t="shared" si="78"/>
        <v>56000000</v>
      </c>
      <c r="O38" s="76">
        <f t="shared" si="78"/>
        <v>70000000</v>
      </c>
      <c r="P38" s="76">
        <f t="shared" si="78"/>
        <v>211000000.00000003</v>
      </c>
      <c r="Q38" s="76">
        <f t="shared" si="78"/>
        <v>20000000</v>
      </c>
      <c r="S38" s="40">
        <v>40076</v>
      </c>
      <c r="T38" s="82">
        <f t="shared" si="47"/>
        <v>0</v>
      </c>
      <c r="U38" s="82">
        <f t="shared" si="62"/>
        <v>0</v>
      </c>
      <c r="V38" s="82">
        <f t="shared" si="63"/>
        <v>0</v>
      </c>
      <c r="W38" s="82">
        <f t="shared" si="64"/>
        <v>0</v>
      </c>
      <c r="X38" s="82">
        <f t="shared" si="65"/>
        <v>0</v>
      </c>
      <c r="Y38" s="82">
        <f t="shared" si="66"/>
        <v>0</v>
      </c>
      <c r="Z38" s="82">
        <f t="shared" si="67"/>
        <v>0</v>
      </c>
      <c r="AA38" s="82">
        <f t="shared" si="68"/>
        <v>0</v>
      </c>
      <c r="AB38" s="82">
        <f t="shared" si="69"/>
        <v>0</v>
      </c>
      <c r="AC38" s="82">
        <f t="shared" si="70"/>
        <v>0</v>
      </c>
      <c r="AD38" s="82">
        <f t="shared" si="71"/>
        <v>0</v>
      </c>
      <c r="AE38" s="82">
        <f t="shared" si="72"/>
        <v>0</v>
      </c>
      <c r="AF38" s="82">
        <f t="shared" si="73"/>
        <v>0</v>
      </c>
      <c r="AG38" s="82">
        <f t="shared" si="74"/>
        <v>0</v>
      </c>
      <c r="AH38" s="82">
        <f t="shared" si="75"/>
        <v>0</v>
      </c>
      <c r="AI38" s="82">
        <f t="shared" si="76"/>
        <v>0</v>
      </c>
      <c r="AJ38" s="40">
        <v>40076</v>
      </c>
      <c r="AK38" s="187">
        <f t="shared" si="8"/>
        <v>4286159728.9930696</v>
      </c>
      <c r="AL38" s="43">
        <f t="shared" si="9"/>
        <v>4286159728.9930696</v>
      </c>
      <c r="AM38" s="43">
        <f t="shared" si="10"/>
        <v>4453159728.9930696</v>
      </c>
      <c r="AN38" s="43">
        <f t="shared" si="11"/>
        <v>4476159728.9930696</v>
      </c>
      <c r="AO38" s="43">
        <f t="shared" si="12"/>
        <v>17501638915.972279</v>
      </c>
      <c r="AR38" s="40">
        <v>40076</v>
      </c>
      <c r="AS38" s="63">
        <v>0</v>
      </c>
      <c r="AT38" s="63">
        <v>0</v>
      </c>
      <c r="AU38" s="63">
        <v>0</v>
      </c>
      <c r="AV38" s="63">
        <v>0</v>
      </c>
      <c r="AW38" s="63">
        <v>0</v>
      </c>
      <c r="AX38" s="63">
        <v>0</v>
      </c>
      <c r="AY38" s="63">
        <v>0</v>
      </c>
      <c r="AZ38" s="63">
        <v>0</v>
      </c>
      <c r="BA38" s="63">
        <v>0</v>
      </c>
      <c r="BB38" s="63">
        <v>0</v>
      </c>
      <c r="BC38" s="63">
        <v>0</v>
      </c>
      <c r="BD38" s="63">
        <v>0</v>
      </c>
      <c r="BE38" s="63">
        <v>0</v>
      </c>
      <c r="BF38" s="63">
        <v>0</v>
      </c>
      <c r="BG38" s="63">
        <v>0</v>
      </c>
      <c r="BH38" s="63">
        <v>0</v>
      </c>
      <c r="BJ38" s="40">
        <v>40076</v>
      </c>
      <c r="BK38" s="43">
        <f t="shared" si="13"/>
        <v>0</v>
      </c>
      <c r="BL38" s="43">
        <f t="shared" si="14"/>
        <v>0</v>
      </c>
      <c r="BM38" s="43">
        <f t="shared" si="15"/>
        <v>0</v>
      </c>
      <c r="BN38" s="43">
        <f t="shared" si="16"/>
        <v>0</v>
      </c>
      <c r="BO38" s="43">
        <f t="shared" si="17"/>
        <v>0</v>
      </c>
      <c r="BP38" s="43">
        <f t="shared" si="18"/>
        <v>0</v>
      </c>
      <c r="BQ38" s="43">
        <f t="shared" si="19"/>
        <v>0</v>
      </c>
      <c r="BR38" s="43">
        <f t="shared" si="20"/>
        <v>0</v>
      </c>
      <c r="BS38" s="43">
        <f t="shared" si="21"/>
        <v>0</v>
      </c>
      <c r="BT38" s="43">
        <f t="shared" si="22"/>
        <v>0</v>
      </c>
      <c r="BU38" s="43">
        <f t="shared" si="23"/>
        <v>0</v>
      </c>
      <c r="BV38" s="43">
        <f t="shared" si="24"/>
        <v>0</v>
      </c>
      <c r="BW38" s="43">
        <f t="shared" si="25"/>
        <v>0</v>
      </c>
      <c r="BX38" s="43">
        <f t="shared" si="26"/>
        <v>0</v>
      </c>
      <c r="BY38" s="43">
        <f t="shared" si="27"/>
        <v>0</v>
      </c>
      <c r="BZ38" s="43">
        <f t="shared" si="28"/>
        <v>0</v>
      </c>
      <c r="CA38" s="40">
        <v>40076</v>
      </c>
      <c r="CB38" s="43">
        <f t="shared" ref="CB38:CP54" si="80">+CB37+BK38</f>
        <v>0</v>
      </c>
      <c r="CC38" s="43">
        <f t="shared" si="80"/>
        <v>0</v>
      </c>
      <c r="CD38" s="43">
        <f t="shared" si="80"/>
        <v>0</v>
      </c>
      <c r="CE38" s="43">
        <f t="shared" si="80"/>
        <v>0</v>
      </c>
      <c r="CF38" s="43">
        <f t="shared" si="80"/>
        <v>0</v>
      </c>
      <c r="CG38" s="43">
        <f t="shared" si="80"/>
        <v>0</v>
      </c>
      <c r="CH38" s="43">
        <f t="shared" si="80"/>
        <v>0</v>
      </c>
      <c r="CI38" s="43">
        <f t="shared" si="80"/>
        <v>0</v>
      </c>
      <c r="CJ38" s="43">
        <f t="shared" si="80"/>
        <v>0</v>
      </c>
      <c r="CK38" s="43">
        <f t="shared" si="80"/>
        <v>0</v>
      </c>
      <c r="CL38" s="43">
        <f t="shared" si="80"/>
        <v>0</v>
      </c>
      <c r="CM38" s="43">
        <f t="shared" si="80"/>
        <v>0</v>
      </c>
      <c r="CN38" s="43">
        <f t="shared" si="80"/>
        <v>0</v>
      </c>
      <c r="CO38" s="43">
        <f t="shared" si="80"/>
        <v>0</v>
      </c>
      <c r="CP38" s="43">
        <f t="shared" si="80"/>
        <v>0</v>
      </c>
      <c r="CQ38" s="43">
        <f t="shared" si="61"/>
        <v>0</v>
      </c>
      <c r="CR38" s="64">
        <f t="shared" si="45"/>
        <v>0</v>
      </c>
      <c r="CT38" s="40">
        <v>40076</v>
      </c>
      <c r="CU38" s="71">
        <f>+CU$3-SUM(AS$4:AS38)</f>
        <v>0</v>
      </c>
      <c r="CV38" s="71">
        <f>+CV$3-SUM(AT$4:AT38)</f>
        <v>1.0000050067901611E-2</v>
      </c>
      <c r="CW38" s="71">
        <f>+CW$3-SUM(AU$4:AU38)</f>
        <v>0</v>
      </c>
      <c r="CX38" s="71">
        <f>+CX$3-SUM(AV$4:AV38)</f>
        <v>1048659728.98</v>
      </c>
      <c r="CY38" s="71">
        <f>+CY$3-SUM(AW$4:AW38)</f>
        <v>1698999999.9999998</v>
      </c>
      <c r="CZ38" s="71">
        <f>+CZ$3-SUM(AX$4:AX38)</f>
        <v>1038500000</v>
      </c>
      <c r="DA38" s="71">
        <f>+DA$3-SUM(AY$4:AY38)</f>
        <v>500000000</v>
      </c>
      <c r="DB38" s="71">
        <f>+DB$3-SUM(AZ$4:AZ38)</f>
        <v>0</v>
      </c>
      <c r="DC38" s="71">
        <f>+DC$3-SUM(BA$4:BA38)</f>
        <v>167000000</v>
      </c>
      <c r="DD38" s="71">
        <f>+DD$3-SUM(BB$4:BB38)</f>
        <v>23000000</v>
      </c>
      <c r="DE38" s="71">
        <f>+DE$3-SUM(BC$4:BC38)</f>
        <v>0</v>
      </c>
      <c r="DF38" s="71">
        <f>+DF$3-SUM(BD$4:BD38)</f>
        <v>91000000</v>
      </c>
      <c r="DG38" s="71">
        <f>+DG$3-SUM(BE$4:BE38)</f>
        <v>56000000</v>
      </c>
      <c r="DH38" s="71">
        <f>+DH$3-SUM(BF$4:BF38)</f>
        <v>70000000</v>
      </c>
      <c r="DI38" s="71">
        <f>+DI$3-SUM(BG$4:BG38)</f>
        <v>211000000.00000003</v>
      </c>
      <c r="DJ38" s="71">
        <f>+DJ$3-SUM(BH$4:BH38)</f>
        <v>20000000</v>
      </c>
    </row>
    <row r="39" spans="1:114">
      <c r="A39" s="75">
        <v>40106</v>
      </c>
      <c r="B39" s="76">
        <f t="shared" si="79"/>
        <v>0</v>
      </c>
      <c r="C39" s="76">
        <f t="shared" si="78"/>
        <v>0</v>
      </c>
      <c r="D39" s="76">
        <f t="shared" si="78"/>
        <v>0</v>
      </c>
      <c r="E39" s="76">
        <f t="shared" si="78"/>
        <v>1048659728.9930698</v>
      </c>
      <c r="F39" s="76">
        <f t="shared" si="78"/>
        <v>1698999999.9999998</v>
      </c>
      <c r="G39" s="76">
        <f t="shared" si="78"/>
        <v>1038500000</v>
      </c>
      <c r="H39" s="76">
        <f t="shared" si="78"/>
        <v>500000000</v>
      </c>
      <c r="I39" s="76">
        <f t="shared" si="78"/>
        <v>0</v>
      </c>
      <c r="J39" s="76">
        <f t="shared" si="78"/>
        <v>167000000</v>
      </c>
      <c r="K39" s="76">
        <f t="shared" si="78"/>
        <v>23000000</v>
      </c>
      <c r="L39" s="76">
        <f t="shared" si="78"/>
        <v>0</v>
      </c>
      <c r="M39" s="76">
        <f t="shared" si="78"/>
        <v>91000000</v>
      </c>
      <c r="N39" s="76">
        <f t="shared" si="78"/>
        <v>56000000</v>
      </c>
      <c r="O39" s="76">
        <f t="shared" si="78"/>
        <v>70000000</v>
      </c>
      <c r="P39" s="76">
        <f t="shared" si="78"/>
        <v>211000000.00000003</v>
      </c>
      <c r="Q39" s="76">
        <f t="shared" si="78"/>
        <v>20000000</v>
      </c>
      <c r="S39" s="40">
        <v>40106</v>
      </c>
      <c r="T39" s="82">
        <f t="shared" si="47"/>
        <v>0</v>
      </c>
      <c r="U39" s="82">
        <f t="shared" si="62"/>
        <v>0</v>
      </c>
      <c r="V39" s="82">
        <f t="shared" si="63"/>
        <v>0</v>
      </c>
      <c r="W39" s="82">
        <f t="shared" si="64"/>
        <v>0</v>
      </c>
      <c r="X39" s="82">
        <f t="shared" si="65"/>
        <v>0</v>
      </c>
      <c r="Y39" s="82">
        <f t="shared" si="66"/>
        <v>0</v>
      </c>
      <c r="Z39" s="82">
        <f t="shared" si="67"/>
        <v>0</v>
      </c>
      <c r="AA39" s="82">
        <f t="shared" si="68"/>
        <v>0</v>
      </c>
      <c r="AB39" s="82">
        <f t="shared" si="69"/>
        <v>0</v>
      </c>
      <c r="AC39" s="82">
        <f t="shared" si="70"/>
        <v>0</v>
      </c>
      <c r="AD39" s="82">
        <f t="shared" si="71"/>
        <v>0</v>
      </c>
      <c r="AE39" s="82">
        <f t="shared" si="72"/>
        <v>0</v>
      </c>
      <c r="AF39" s="82">
        <f t="shared" si="73"/>
        <v>0</v>
      </c>
      <c r="AG39" s="82">
        <f t="shared" si="74"/>
        <v>0</v>
      </c>
      <c r="AH39" s="82">
        <f t="shared" si="75"/>
        <v>0</v>
      </c>
      <c r="AI39" s="82">
        <f t="shared" si="76"/>
        <v>0</v>
      </c>
      <c r="AJ39" s="40">
        <v>40106</v>
      </c>
      <c r="AK39" s="187">
        <f t="shared" si="8"/>
        <v>4286159728.9930696</v>
      </c>
      <c r="AL39" s="43">
        <f t="shared" si="9"/>
        <v>4286159728.9930696</v>
      </c>
      <c r="AM39" s="43">
        <f t="shared" si="10"/>
        <v>4453159728.9930696</v>
      </c>
      <c r="AN39" s="43">
        <f t="shared" si="11"/>
        <v>4476159728.9930696</v>
      </c>
      <c r="AO39" s="43">
        <f t="shared" si="12"/>
        <v>17501638915.972279</v>
      </c>
      <c r="AR39" s="40">
        <v>40106</v>
      </c>
      <c r="AS39" s="63">
        <v>0</v>
      </c>
      <c r="AT39" s="63">
        <v>0</v>
      </c>
      <c r="AU39" s="63">
        <v>0</v>
      </c>
      <c r="AV39" s="63">
        <v>0</v>
      </c>
      <c r="AW39" s="63">
        <v>0</v>
      </c>
      <c r="AX39" s="63">
        <v>0</v>
      </c>
      <c r="AY39" s="63">
        <v>0</v>
      </c>
      <c r="AZ39" s="63">
        <v>0</v>
      </c>
      <c r="BA39" s="63">
        <v>0</v>
      </c>
      <c r="BB39" s="63">
        <v>0</v>
      </c>
      <c r="BC39" s="63">
        <v>0</v>
      </c>
      <c r="BD39" s="63">
        <v>0</v>
      </c>
      <c r="BE39" s="63">
        <v>0</v>
      </c>
      <c r="BF39" s="63">
        <v>0</v>
      </c>
      <c r="BG39" s="63">
        <v>0</v>
      </c>
      <c r="BH39" s="63">
        <v>0</v>
      </c>
      <c r="BJ39" s="40">
        <v>40106</v>
      </c>
      <c r="BK39" s="43">
        <f t="shared" si="13"/>
        <v>0</v>
      </c>
      <c r="BL39" s="43">
        <f t="shared" si="14"/>
        <v>0</v>
      </c>
      <c r="BM39" s="43">
        <f t="shared" si="15"/>
        <v>0</v>
      </c>
      <c r="BN39" s="43">
        <f t="shared" si="16"/>
        <v>0</v>
      </c>
      <c r="BO39" s="43">
        <f t="shared" si="17"/>
        <v>0</v>
      </c>
      <c r="BP39" s="43">
        <f t="shared" si="18"/>
        <v>0</v>
      </c>
      <c r="BQ39" s="43">
        <f t="shared" si="19"/>
        <v>0</v>
      </c>
      <c r="BR39" s="43">
        <f t="shared" si="20"/>
        <v>0</v>
      </c>
      <c r="BS39" s="43">
        <f t="shared" si="21"/>
        <v>0</v>
      </c>
      <c r="BT39" s="43">
        <f t="shared" si="22"/>
        <v>0</v>
      </c>
      <c r="BU39" s="43">
        <f t="shared" si="23"/>
        <v>0</v>
      </c>
      <c r="BV39" s="43">
        <f t="shared" si="24"/>
        <v>0</v>
      </c>
      <c r="BW39" s="43">
        <f t="shared" si="25"/>
        <v>0</v>
      </c>
      <c r="BX39" s="43">
        <f t="shared" si="26"/>
        <v>0</v>
      </c>
      <c r="BY39" s="43">
        <f t="shared" si="27"/>
        <v>0</v>
      </c>
      <c r="BZ39" s="43">
        <f t="shared" si="28"/>
        <v>0</v>
      </c>
      <c r="CA39" s="40">
        <v>40106</v>
      </c>
      <c r="CB39" s="43">
        <f t="shared" si="80"/>
        <v>0</v>
      </c>
      <c r="CC39" s="43">
        <f t="shared" si="80"/>
        <v>0</v>
      </c>
      <c r="CD39" s="43">
        <f t="shared" si="80"/>
        <v>0</v>
      </c>
      <c r="CE39" s="43">
        <f t="shared" si="80"/>
        <v>0</v>
      </c>
      <c r="CF39" s="43">
        <f t="shared" si="80"/>
        <v>0</v>
      </c>
      <c r="CG39" s="43">
        <f t="shared" si="80"/>
        <v>0</v>
      </c>
      <c r="CH39" s="43">
        <f t="shared" si="80"/>
        <v>0</v>
      </c>
      <c r="CI39" s="43">
        <f t="shared" si="80"/>
        <v>0</v>
      </c>
      <c r="CJ39" s="43">
        <f t="shared" si="80"/>
        <v>0</v>
      </c>
      <c r="CK39" s="43">
        <f t="shared" si="80"/>
        <v>0</v>
      </c>
      <c r="CL39" s="43">
        <f t="shared" si="80"/>
        <v>0</v>
      </c>
      <c r="CM39" s="43">
        <f t="shared" si="80"/>
        <v>0</v>
      </c>
      <c r="CN39" s="43">
        <f t="shared" si="80"/>
        <v>0</v>
      </c>
      <c r="CO39" s="43">
        <f t="shared" si="80"/>
        <v>0</v>
      </c>
      <c r="CP39" s="43">
        <f t="shared" si="80"/>
        <v>0</v>
      </c>
      <c r="CQ39" s="43">
        <f t="shared" si="61"/>
        <v>0</v>
      </c>
      <c r="CR39" s="64">
        <f t="shared" si="45"/>
        <v>0</v>
      </c>
      <c r="CT39" s="40">
        <v>40106</v>
      </c>
      <c r="CU39" s="71">
        <f>+CU$3-SUM(AS$4:AS39)</f>
        <v>0</v>
      </c>
      <c r="CV39" s="71">
        <f>+CV$3-SUM(AT$4:AT39)</f>
        <v>1.0000050067901611E-2</v>
      </c>
      <c r="CW39" s="71">
        <f>+CW$3-SUM(AU$4:AU39)</f>
        <v>0</v>
      </c>
      <c r="CX39" s="71">
        <f>+CX$3-SUM(AV$4:AV39)</f>
        <v>1048659728.98</v>
      </c>
      <c r="CY39" s="71">
        <f>+CY$3-SUM(AW$4:AW39)</f>
        <v>1698999999.9999998</v>
      </c>
      <c r="CZ39" s="71">
        <f>+CZ$3-SUM(AX$4:AX39)</f>
        <v>1038500000</v>
      </c>
      <c r="DA39" s="71">
        <f>+DA$3-SUM(AY$4:AY39)</f>
        <v>500000000</v>
      </c>
      <c r="DB39" s="71">
        <f>+DB$3-SUM(AZ$4:AZ39)</f>
        <v>0</v>
      </c>
      <c r="DC39" s="71">
        <f>+DC$3-SUM(BA$4:BA39)</f>
        <v>167000000</v>
      </c>
      <c r="DD39" s="71">
        <f>+DD$3-SUM(BB$4:BB39)</f>
        <v>23000000</v>
      </c>
      <c r="DE39" s="71">
        <f>+DE$3-SUM(BC$4:BC39)</f>
        <v>0</v>
      </c>
      <c r="DF39" s="71">
        <f>+DF$3-SUM(BD$4:BD39)</f>
        <v>91000000</v>
      </c>
      <c r="DG39" s="71">
        <f>+DG$3-SUM(BE$4:BE39)</f>
        <v>56000000</v>
      </c>
      <c r="DH39" s="71">
        <f>+DH$3-SUM(BF$4:BF39)</f>
        <v>70000000</v>
      </c>
      <c r="DI39" s="71">
        <f>+DI$3-SUM(BG$4:BG39)</f>
        <v>211000000.00000003</v>
      </c>
      <c r="DJ39" s="71">
        <f>+DJ$3-SUM(BH$4:BH39)</f>
        <v>20000000</v>
      </c>
    </row>
    <row r="40" spans="1:114">
      <c r="A40" s="75">
        <v>40137</v>
      </c>
      <c r="B40" s="76">
        <f t="shared" si="79"/>
        <v>0</v>
      </c>
      <c r="C40" s="76">
        <f t="shared" si="78"/>
        <v>0</v>
      </c>
      <c r="D40" s="76">
        <f t="shared" si="78"/>
        <v>0</v>
      </c>
      <c r="E40" s="76">
        <f t="shared" si="78"/>
        <v>720008815.95941246</v>
      </c>
      <c r="F40" s="76">
        <f t="shared" si="78"/>
        <v>1698999999.9999998</v>
      </c>
      <c r="G40" s="76">
        <f t="shared" si="78"/>
        <v>1038500000</v>
      </c>
      <c r="H40" s="76">
        <f t="shared" si="78"/>
        <v>500000000</v>
      </c>
      <c r="I40" s="76">
        <f t="shared" si="78"/>
        <v>0</v>
      </c>
      <c r="J40" s="76">
        <f t="shared" si="78"/>
        <v>167000000</v>
      </c>
      <c r="K40" s="76">
        <f t="shared" si="78"/>
        <v>23000000</v>
      </c>
      <c r="L40" s="76">
        <f t="shared" si="78"/>
        <v>0</v>
      </c>
      <c r="M40" s="76">
        <f t="shared" si="78"/>
        <v>91000000</v>
      </c>
      <c r="N40" s="76">
        <f t="shared" si="78"/>
        <v>56000000</v>
      </c>
      <c r="O40" s="76">
        <f t="shared" si="78"/>
        <v>70000000</v>
      </c>
      <c r="P40" s="76">
        <f t="shared" si="78"/>
        <v>211000000.00000003</v>
      </c>
      <c r="Q40" s="76">
        <f t="shared" si="78"/>
        <v>20000000</v>
      </c>
      <c r="S40" s="588">
        <v>40137</v>
      </c>
      <c r="T40" s="589">
        <f t="shared" si="47"/>
        <v>0</v>
      </c>
      <c r="U40" s="589">
        <f t="shared" si="62"/>
        <v>0</v>
      </c>
      <c r="V40" s="589">
        <f t="shared" si="63"/>
        <v>0</v>
      </c>
      <c r="W40" s="589">
        <f t="shared" si="64"/>
        <v>328650913.02999997</v>
      </c>
      <c r="X40" s="589">
        <f t="shared" si="65"/>
        <v>0</v>
      </c>
      <c r="Y40" s="589">
        <f t="shared" si="66"/>
        <v>0</v>
      </c>
      <c r="Z40" s="589">
        <f t="shared" si="67"/>
        <v>0</v>
      </c>
      <c r="AA40" s="589">
        <f t="shared" si="68"/>
        <v>0</v>
      </c>
      <c r="AB40" s="589">
        <f t="shared" si="69"/>
        <v>0</v>
      </c>
      <c r="AC40" s="589">
        <f t="shared" si="70"/>
        <v>0</v>
      </c>
      <c r="AD40" s="589">
        <f t="shared" si="71"/>
        <v>0</v>
      </c>
      <c r="AE40" s="589">
        <f t="shared" si="72"/>
        <v>0</v>
      </c>
      <c r="AF40" s="589">
        <f t="shared" si="73"/>
        <v>0</v>
      </c>
      <c r="AG40" s="589">
        <f t="shared" si="74"/>
        <v>0</v>
      </c>
      <c r="AH40" s="589">
        <f t="shared" si="75"/>
        <v>0</v>
      </c>
      <c r="AI40" s="589">
        <f t="shared" si="76"/>
        <v>0</v>
      </c>
      <c r="AJ40" s="40">
        <v>40137</v>
      </c>
      <c r="AK40" s="187">
        <f t="shared" si="8"/>
        <v>3957508815.9594121</v>
      </c>
      <c r="AL40" s="43">
        <f t="shared" si="9"/>
        <v>3957508815.9594121</v>
      </c>
      <c r="AM40" s="43">
        <f t="shared" si="10"/>
        <v>4124508815.9594121</v>
      </c>
      <c r="AN40" s="43">
        <f t="shared" si="11"/>
        <v>4147508815.9594121</v>
      </c>
      <c r="AO40" s="43">
        <f t="shared" si="12"/>
        <v>16187035263.837648</v>
      </c>
      <c r="AR40" s="40">
        <v>40137</v>
      </c>
      <c r="AS40" s="63">
        <v>0</v>
      </c>
      <c r="AT40" s="63">
        <v>0</v>
      </c>
      <c r="AU40" s="63">
        <v>0</v>
      </c>
      <c r="AV40" s="85">
        <v>328650913.02999997</v>
      </c>
      <c r="AW40" s="63">
        <v>0</v>
      </c>
      <c r="AX40" s="63">
        <v>0</v>
      </c>
      <c r="AY40" s="63">
        <v>0</v>
      </c>
      <c r="AZ40" s="63">
        <v>0</v>
      </c>
      <c r="BA40" s="63">
        <v>0</v>
      </c>
      <c r="BB40" s="63">
        <v>0</v>
      </c>
      <c r="BC40" s="63">
        <v>0</v>
      </c>
      <c r="BD40" s="63">
        <v>0</v>
      </c>
      <c r="BE40" s="63">
        <v>0</v>
      </c>
      <c r="BF40" s="63">
        <v>0</v>
      </c>
      <c r="BG40" s="63">
        <v>0</v>
      </c>
      <c r="BH40" s="63">
        <v>0</v>
      </c>
      <c r="BJ40" s="40">
        <v>40137</v>
      </c>
      <c r="BK40" s="43">
        <f t="shared" si="13"/>
        <v>0</v>
      </c>
      <c r="BL40" s="43">
        <f t="shared" si="14"/>
        <v>0</v>
      </c>
      <c r="BM40" s="43">
        <f t="shared" si="15"/>
        <v>0</v>
      </c>
      <c r="BN40" s="43">
        <f t="shared" si="16"/>
        <v>0</v>
      </c>
      <c r="BO40" s="43">
        <f t="shared" si="17"/>
        <v>0</v>
      </c>
      <c r="BP40" s="43">
        <f t="shared" si="18"/>
        <v>0</v>
      </c>
      <c r="BQ40" s="43">
        <f t="shared" si="19"/>
        <v>0</v>
      </c>
      <c r="BR40" s="43">
        <f t="shared" si="20"/>
        <v>0</v>
      </c>
      <c r="BS40" s="43">
        <f t="shared" si="21"/>
        <v>0</v>
      </c>
      <c r="BT40" s="43">
        <f t="shared" si="22"/>
        <v>0</v>
      </c>
      <c r="BU40" s="43">
        <f t="shared" si="23"/>
        <v>0</v>
      </c>
      <c r="BV40" s="43">
        <f t="shared" si="24"/>
        <v>0</v>
      </c>
      <c r="BW40" s="43">
        <f t="shared" si="25"/>
        <v>0</v>
      </c>
      <c r="BX40" s="43">
        <f t="shared" si="26"/>
        <v>0</v>
      </c>
      <c r="BY40" s="43">
        <f t="shared" si="27"/>
        <v>0</v>
      </c>
      <c r="BZ40" s="43">
        <f t="shared" si="28"/>
        <v>0</v>
      </c>
      <c r="CA40" s="40">
        <v>40137</v>
      </c>
      <c r="CB40" s="43">
        <f t="shared" si="80"/>
        <v>0</v>
      </c>
      <c r="CC40" s="43">
        <f t="shared" si="80"/>
        <v>0</v>
      </c>
      <c r="CD40" s="43">
        <f t="shared" si="80"/>
        <v>0</v>
      </c>
      <c r="CE40" s="43">
        <f t="shared" si="80"/>
        <v>0</v>
      </c>
      <c r="CF40" s="43">
        <f t="shared" si="80"/>
        <v>0</v>
      </c>
      <c r="CG40" s="43">
        <f t="shared" si="80"/>
        <v>0</v>
      </c>
      <c r="CH40" s="43">
        <f t="shared" si="80"/>
        <v>0</v>
      </c>
      <c r="CI40" s="43">
        <f t="shared" si="80"/>
        <v>0</v>
      </c>
      <c r="CJ40" s="43">
        <f t="shared" si="80"/>
        <v>0</v>
      </c>
      <c r="CK40" s="43">
        <f t="shared" si="80"/>
        <v>0</v>
      </c>
      <c r="CL40" s="43">
        <f t="shared" si="80"/>
        <v>0</v>
      </c>
      <c r="CM40" s="43">
        <f t="shared" si="80"/>
        <v>0</v>
      </c>
      <c r="CN40" s="43">
        <f t="shared" si="80"/>
        <v>0</v>
      </c>
      <c r="CO40" s="43">
        <f t="shared" si="80"/>
        <v>0</v>
      </c>
      <c r="CP40" s="43">
        <f t="shared" si="80"/>
        <v>0</v>
      </c>
      <c r="CQ40" s="43">
        <f t="shared" si="61"/>
        <v>0</v>
      </c>
      <c r="CR40" s="64">
        <f t="shared" si="45"/>
        <v>0</v>
      </c>
      <c r="CT40" s="40">
        <v>40137</v>
      </c>
      <c r="CU40" s="71">
        <f>+CU$3-SUM(AS$4:AS40)</f>
        <v>0</v>
      </c>
      <c r="CV40" s="71">
        <f>+CV$3-SUM(AT$4:AT40)</f>
        <v>1.0000050067901611E-2</v>
      </c>
      <c r="CW40" s="71">
        <f>+CW$3-SUM(AU$4:AU40)</f>
        <v>0</v>
      </c>
      <c r="CX40" s="71">
        <f>+CX$3-SUM(AV$4:AV40)</f>
        <v>720008815.95000005</v>
      </c>
      <c r="CY40" s="71">
        <f>+CY$3-SUM(AW$4:AW40)</f>
        <v>1698999999.9999998</v>
      </c>
      <c r="CZ40" s="71">
        <f>+CZ$3-SUM(AX$4:AX40)</f>
        <v>1038500000</v>
      </c>
      <c r="DA40" s="71">
        <f>+DA$3-SUM(AY$4:AY40)</f>
        <v>500000000</v>
      </c>
      <c r="DB40" s="71">
        <f>+DB$3-SUM(AZ$4:AZ40)</f>
        <v>0</v>
      </c>
      <c r="DC40" s="71">
        <f>+DC$3-SUM(BA$4:BA40)</f>
        <v>167000000</v>
      </c>
      <c r="DD40" s="71">
        <f>+DD$3-SUM(BB$4:BB40)</f>
        <v>23000000</v>
      </c>
      <c r="DE40" s="71">
        <f>+DE$3-SUM(BC$4:BC40)</f>
        <v>0</v>
      </c>
      <c r="DF40" s="71">
        <f>+DF$3-SUM(BD$4:BD40)</f>
        <v>91000000</v>
      </c>
      <c r="DG40" s="71">
        <f>+DG$3-SUM(BE$4:BE40)</f>
        <v>56000000</v>
      </c>
      <c r="DH40" s="71">
        <f>+DH$3-SUM(BF$4:BF40)</f>
        <v>70000000</v>
      </c>
      <c r="DI40" s="71">
        <f>+DI$3-SUM(BG$4:BG40)</f>
        <v>211000000.00000003</v>
      </c>
      <c r="DJ40" s="71">
        <f>+DJ$3-SUM(BH$4:BH40)</f>
        <v>20000000</v>
      </c>
    </row>
    <row r="41" spans="1:114">
      <c r="A41" s="75">
        <v>40167</v>
      </c>
      <c r="B41" s="76">
        <f t="shared" si="79"/>
        <v>0</v>
      </c>
      <c r="C41" s="76">
        <f t="shared" si="78"/>
        <v>0</v>
      </c>
      <c r="D41" s="76">
        <f t="shared" si="78"/>
        <v>0</v>
      </c>
      <c r="E41" s="76">
        <f t="shared" si="78"/>
        <v>720008815.95941246</v>
      </c>
      <c r="F41" s="76">
        <f t="shared" si="78"/>
        <v>1698999999.9999998</v>
      </c>
      <c r="G41" s="76">
        <f t="shared" si="78"/>
        <v>1038500000</v>
      </c>
      <c r="H41" s="76">
        <f t="shared" si="78"/>
        <v>500000000</v>
      </c>
      <c r="I41" s="76">
        <f t="shared" si="78"/>
        <v>0</v>
      </c>
      <c r="J41" s="76">
        <f t="shared" si="78"/>
        <v>167000000</v>
      </c>
      <c r="K41" s="76">
        <f t="shared" si="78"/>
        <v>23000000</v>
      </c>
      <c r="L41" s="76">
        <f t="shared" si="78"/>
        <v>0</v>
      </c>
      <c r="M41" s="76">
        <f t="shared" si="78"/>
        <v>91000000</v>
      </c>
      <c r="N41" s="76">
        <f t="shared" si="78"/>
        <v>56000000</v>
      </c>
      <c r="O41" s="76">
        <f t="shared" si="78"/>
        <v>70000000</v>
      </c>
      <c r="P41" s="76">
        <f t="shared" si="78"/>
        <v>211000000.00000003</v>
      </c>
      <c r="Q41" s="76">
        <f t="shared" si="78"/>
        <v>20000000</v>
      </c>
      <c r="S41" s="40">
        <v>40167</v>
      </c>
      <c r="T41" s="82">
        <f t="shared" si="47"/>
        <v>0</v>
      </c>
      <c r="U41" s="82">
        <f t="shared" si="62"/>
        <v>0</v>
      </c>
      <c r="V41" s="82">
        <f t="shared" si="63"/>
        <v>0</v>
      </c>
      <c r="W41" s="82">
        <f t="shared" si="64"/>
        <v>0</v>
      </c>
      <c r="X41" s="82">
        <f t="shared" si="65"/>
        <v>0</v>
      </c>
      <c r="Y41" s="82">
        <f t="shared" si="66"/>
        <v>0</v>
      </c>
      <c r="Z41" s="82">
        <f t="shared" si="67"/>
        <v>0</v>
      </c>
      <c r="AA41" s="82">
        <f t="shared" si="68"/>
        <v>0</v>
      </c>
      <c r="AB41" s="82">
        <f t="shared" si="69"/>
        <v>0</v>
      </c>
      <c r="AC41" s="82">
        <f t="shared" si="70"/>
        <v>0</v>
      </c>
      <c r="AD41" s="82">
        <f t="shared" si="71"/>
        <v>0</v>
      </c>
      <c r="AE41" s="82">
        <f t="shared" si="72"/>
        <v>0</v>
      </c>
      <c r="AF41" s="82">
        <f t="shared" si="73"/>
        <v>0</v>
      </c>
      <c r="AG41" s="82">
        <f t="shared" si="74"/>
        <v>0</v>
      </c>
      <c r="AH41" s="82">
        <f t="shared" si="75"/>
        <v>0</v>
      </c>
      <c r="AI41" s="82">
        <f t="shared" si="76"/>
        <v>0</v>
      </c>
      <c r="AJ41" s="40">
        <v>40167</v>
      </c>
      <c r="AK41" s="187">
        <f t="shared" si="8"/>
        <v>3957508815.9594121</v>
      </c>
      <c r="AL41" s="43">
        <f t="shared" si="9"/>
        <v>3957508815.9594121</v>
      </c>
      <c r="AM41" s="43">
        <f t="shared" si="10"/>
        <v>4124508815.9594121</v>
      </c>
      <c r="AN41" s="43">
        <f t="shared" si="11"/>
        <v>4147508815.9594121</v>
      </c>
      <c r="AO41" s="43">
        <f t="shared" si="12"/>
        <v>16187035263.837648</v>
      </c>
      <c r="AR41" s="40">
        <v>40167</v>
      </c>
      <c r="AS41" s="63">
        <v>0</v>
      </c>
      <c r="AT41" s="63">
        <v>0</v>
      </c>
      <c r="AU41" s="63">
        <v>0</v>
      </c>
      <c r="AV41" s="63">
        <v>0</v>
      </c>
      <c r="AW41" s="63">
        <v>0</v>
      </c>
      <c r="AX41" s="63">
        <v>0</v>
      </c>
      <c r="AY41" s="63">
        <v>0</v>
      </c>
      <c r="AZ41" s="63">
        <v>0</v>
      </c>
      <c r="BA41" s="63">
        <v>0</v>
      </c>
      <c r="BB41" s="63">
        <v>0</v>
      </c>
      <c r="BC41" s="63">
        <v>0</v>
      </c>
      <c r="BD41" s="63">
        <v>0</v>
      </c>
      <c r="BE41" s="63">
        <v>0</v>
      </c>
      <c r="BF41" s="63">
        <v>0</v>
      </c>
      <c r="BG41" s="63">
        <v>0</v>
      </c>
      <c r="BH41" s="63">
        <v>0</v>
      </c>
      <c r="BJ41" s="40">
        <v>40167</v>
      </c>
      <c r="BK41" s="43">
        <f t="shared" si="13"/>
        <v>0</v>
      </c>
      <c r="BL41" s="43">
        <f t="shared" si="14"/>
        <v>0</v>
      </c>
      <c r="BM41" s="43">
        <f t="shared" si="15"/>
        <v>0</v>
      </c>
      <c r="BN41" s="43">
        <f t="shared" si="16"/>
        <v>0</v>
      </c>
      <c r="BO41" s="43">
        <f t="shared" si="17"/>
        <v>0</v>
      </c>
      <c r="BP41" s="43">
        <f t="shared" si="18"/>
        <v>0</v>
      </c>
      <c r="BQ41" s="43">
        <f t="shared" si="19"/>
        <v>0</v>
      </c>
      <c r="BR41" s="43">
        <f t="shared" si="20"/>
        <v>0</v>
      </c>
      <c r="BS41" s="43">
        <f t="shared" si="21"/>
        <v>0</v>
      </c>
      <c r="BT41" s="43">
        <f t="shared" si="22"/>
        <v>0</v>
      </c>
      <c r="BU41" s="43">
        <f t="shared" si="23"/>
        <v>0</v>
      </c>
      <c r="BV41" s="43">
        <f t="shared" si="24"/>
        <v>0</v>
      </c>
      <c r="BW41" s="43">
        <f t="shared" si="25"/>
        <v>0</v>
      </c>
      <c r="BX41" s="43">
        <f t="shared" si="26"/>
        <v>0</v>
      </c>
      <c r="BY41" s="43">
        <f t="shared" si="27"/>
        <v>0</v>
      </c>
      <c r="BZ41" s="43">
        <f t="shared" si="28"/>
        <v>0</v>
      </c>
      <c r="CA41" s="40">
        <v>40167</v>
      </c>
      <c r="CB41" s="43">
        <f t="shared" si="80"/>
        <v>0</v>
      </c>
      <c r="CC41" s="43">
        <f t="shared" si="80"/>
        <v>0</v>
      </c>
      <c r="CD41" s="43">
        <f t="shared" si="80"/>
        <v>0</v>
      </c>
      <c r="CE41" s="43">
        <f t="shared" si="80"/>
        <v>0</v>
      </c>
      <c r="CF41" s="43">
        <f t="shared" si="80"/>
        <v>0</v>
      </c>
      <c r="CG41" s="43">
        <f t="shared" si="80"/>
        <v>0</v>
      </c>
      <c r="CH41" s="43">
        <f t="shared" si="80"/>
        <v>0</v>
      </c>
      <c r="CI41" s="43">
        <f t="shared" si="80"/>
        <v>0</v>
      </c>
      <c r="CJ41" s="43">
        <f t="shared" si="80"/>
        <v>0</v>
      </c>
      <c r="CK41" s="43">
        <f t="shared" si="80"/>
        <v>0</v>
      </c>
      <c r="CL41" s="43">
        <f t="shared" si="80"/>
        <v>0</v>
      </c>
      <c r="CM41" s="43">
        <f t="shared" si="80"/>
        <v>0</v>
      </c>
      <c r="CN41" s="43">
        <f t="shared" si="80"/>
        <v>0</v>
      </c>
      <c r="CO41" s="43">
        <f t="shared" si="80"/>
        <v>0</v>
      </c>
      <c r="CP41" s="43">
        <f t="shared" si="80"/>
        <v>0</v>
      </c>
      <c r="CQ41" s="43">
        <f t="shared" si="61"/>
        <v>0</v>
      </c>
      <c r="CR41" s="64">
        <f t="shared" si="45"/>
        <v>0</v>
      </c>
      <c r="CT41" s="40">
        <v>40167</v>
      </c>
      <c r="CU41" s="71">
        <f>+CU$3-SUM(AS$4:AS41)</f>
        <v>0</v>
      </c>
      <c r="CV41" s="71">
        <f>+CV$3-SUM(AT$4:AT41)</f>
        <v>1.0000050067901611E-2</v>
      </c>
      <c r="CW41" s="71">
        <f>+CW$3-SUM(AU$4:AU41)</f>
        <v>0</v>
      </c>
      <c r="CX41" s="71">
        <f>+CX$3-SUM(AV$4:AV41)</f>
        <v>720008815.95000005</v>
      </c>
      <c r="CY41" s="71">
        <f>+CY$3-SUM(AW$4:AW41)</f>
        <v>1698999999.9999998</v>
      </c>
      <c r="CZ41" s="71">
        <f>+CZ$3-SUM(AX$4:AX41)</f>
        <v>1038500000</v>
      </c>
      <c r="DA41" s="71">
        <f>+DA$3-SUM(AY$4:AY41)</f>
        <v>500000000</v>
      </c>
      <c r="DB41" s="71">
        <f>+DB$3-SUM(AZ$4:AZ41)</f>
        <v>0</v>
      </c>
      <c r="DC41" s="71">
        <f>+DC$3-SUM(BA$4:BA41)</f>
        <v>167000000</v>
      </c>
      <c r="DD41" s="71">
        <f>+DD$3-SUM(BB$4:BB41)</f>
        <v>23000000</v>
      </c>
      <c r="DE41" s="71">
        <f>+DE$3-SUM(BC$4:BC41)</f>
        <v>0</v>
      </c>
      <c r="DF41" s="71">
        <f>+DF$3-SUM(BD$4:BD41)</f>
        <v>91000000</v>
      </c>
      <c r="DG41" s="71">
        <f>+DG$3-SUM(BE$4:BE41)</f>
        <v>56000000</v>
      </c>
      <c r="DH41" s="71">
        <f>+DH$3-SUM(BF$4:BF41)</f>
        <v>70000000</v>
      </c>
      <c r="DI41" s="71">
        <f>+DI$3-SUM(BG$4:BG41)</f>
        <v>211000000.00000003</v>
      </c>
      <c r="DJ41" s="71">
        <f>+DJ$3-SUM(BH$4:BH41)</f>
        <v>20000000</v>
      </c>
    </row>
    <row r="42" spans="1:114">
      <c r="A42" s="75">
        <v>40198</v>
      </c>
      <c r="B42" s="76">
        <f t="shared" si="79"/>
        <v>0</v>
      </c>
      <c r="C42" s="76">
        <f t="shared" si="78"/>
        <v>0</v>
      </c>
      <c r="D42" s="76">
        <f t="shared" si="78"/>
        <v>0</v>
      </c>
      <c r="E42" s="76">
        <f t="shared" si="78"/>
        <v>720008815.95941246</v>
      </c>
      <c r="F42" s="76">
        <f t="shared" si="78"/>
        <v>1698999999.9999998</v>
      </c>
      <c r="G42" s="76">
        <f t="shared" si="78"/>
        <v>1038500000</v>
      </c>
      <c r="H42" s="76">
        <f t="shared" si="78"/>
        <v>500000000</v>
      </c>
      <c r="I42" s="76">
        <f t="shared" si="78"/>
        <v>0</v>
      </c>
      <c r="J42" s="76">
        <f t="shared" si="78"/>
        <v>167000000</v>
      </c>
      <c r="K42" s="76">
        <f t="shared" si="78"/>
        <v>23000000</v>
      </c>
      <c r="L42" s="76">
        <f t="shared" si="78"/>
        <v>0</v>
      </c>
      <c r="M42" s="76">
        <f t="shared" si="78"/>
        <v>91000000</v>
      </c>
      <c r="N42" s="76">
        <f t="shared" si="78"/>
        <v>56000000</v>
      </c>
      <c r="O42" s="76">
        <f t="shared" si="78"/>
        <v>70000000</v>
      </c>
      <c r="P42" s="76">
        <f t="shared" si="78"/>
        <v>211000000.00000003</v>
      </c>
      <c r="Q42" s="76">
        <f t="shared" si="78"/>
        <v>20000000</v>
      </c>
      <c r="S42" s="40">
        <v>40198</v>
      </c>
      <c r="T42" s="82">
        <f t="shared" si="47"/>
        <v>0</v>
      </c>
      <c r="U42" s="82">
        <f t="shared" si="62"/>
        <v>0</v>
      </c>
      <c r="V42" s="82">
        <f t="shared" si="63"/>
        <v>0</v>
      </c>
      <c r="W42" s="82">
        <f t="shared" si="64"/>
        <v>0</v>
      </c>
      <c r="X42" s="82">
        <f t="shared" si="65"/>
        <v>0</v>
      </c>
      <c r="Y42" s="82">
        <f t="shared" si="66"/>
        <v>0</v>
      </c>
      <c r="Z42" s="82">
        <f t="shared" si="67"/>
        <v>0</v>
      </c>
      <c r="AA42" s="82">
        <f t="shared" si="68"/>
        <v>0</v>
      </c>
      <c r="AB42" s="82">
        <f t="shared" si="69"/>
        <v>0</v>
      </c>
      <c r="AC42" s="82">
        <f t="shared" si="70"/>
        <v>0</v>
      </c>
      <c r="AD42" s="82">
        <f t="shared" si="71"/>
        <v>0</v>
      </c>
      <c r="AE42" s="82">
        <f t="shared" si="72"/>
        <v>0</v>
      </c>
      <c r="AF42" s="82">
        <f t="shared" si="73"/>
        <v>0</v>
      </c>
      <c r="AG42" s="82">
        <f t="shared" si="74"/>
        <v>0</v>
      </c>
      <c r="AH42" s="82">
        <f t="shared" si="75"/>
        <v>0</v>
      </c>
      <c r="AI42" s="82">
        <f t="shared" si="76"/>
        <v>0</v>
      </c>
      <c r="AJ42" s="40">
        <v>40198</v>
      </c>
      <c r="AK42" s="187">
        <f t="shared" si="8"/>
        <v>3957508815.9594121</v>
      </c>
      <c r="AL42" s="43">
        <f t="shared" si="9"/>
        <v>3957508815.9594121</v>
      </c>
      <c r="AM42" s="43">
        <f t="shared" si="10"/>
        <v>4124508815.9594121</v>
      </c>
      <c r="AN42" s="43">
        <f t="shared" si="11"/>
        <v>4147508815.9594121</v>
      </c>
      <c r="AO42" s="43">
        <f t="shared" si="12"/>
        <v>16187035263.837648</v>
      </c>
      <c r="AR42" s="40">
        <v>40198</v>
      </c>
      <c r="AS42" s="63">
        <v>0</v>
      </c>
      <c r="AT42" s="63">
        <v>0</v>
      </c>
      <c r="AU42" s="63">
        <v>0</v>
      </c>
      <c r="AV42" s="63">
        <v>0</v>
      </c>
      <c r="AW42" s="63">
        <v>0</v>
      </c>
      <c r="AX42" s="63">
        <v>0</v>
      </c>
      <c r="AY42" s="63">
        <v>0</v>
      </c>
      <c r="AZ42" s="63">
        <v>0</v>
      </c>
      <c r="BA42" s="63">
        <v>0</v>
      </c>
      <c r="BB42" s="63">
        <v>0</v>
      </c>
      <c r="BC42" s="63">
        <v>0</v>
      </c>
      <c r="BD42" s="63">
        <v>0</v>
      </c>
      <c r="BE42" s="63">
        <v>0</v>
      </c>
      <c r="BF42" s="63">
        <v>0</v>
      </c>
      <c r="BG42" s="63">
        <v>0</v>
      </c>
      <c r="BH42" s="63">
        <v>0</v>
      </c>
      <c r="BJ42" s="40">
        <v>40198</v>
      </c>
      <c r="BK42" s="43">
        <f t="shared" si="13"/>
        <v>0</v>
      </c>
      <c r="BL42" s="43">
        <f t="shared" si="14"/>
        <v>0</v>
      </c>
      <c r="BM42" s="43">
        <f t="shared" si="15"/>
        <v>0</v>
      </c>
      <c r="BN42" s="43">
        <f t="shared" si="16"/>
        <v>0</v>
      </c>
      <c r="BO42" s="43">
        <f t="shared" si="17"/>
        <v>0</v>
      </c>
      <c r="BP42" s="43">
        <f t="shared" si="18"/>
        <v>0</v>
      </c>
      <c r="BQ42" s="43">
        <f t="shared" si="19"/>
        <v>0</v>
      </c>
      <c r="BR42" s="43">
        <f t="shared" si="20"/>
        <v>0</v>
      </c>
      <c r="BS42" s="43">
        <f t="shared" si="21"/>
        <v>0</v>
      </c>
      <c r="BT42" s="43">
        <f t="shared" si="22"/>
        <v>0</v>
      </c>
      <c r="BU42" s="43">
        <f t="shared" si="23"/>
        <v>0</v>
      </c>
      <c r="BV42" s="43">
        <f t="shared" si="24"/>
        <v>0</v>
      </c>
      <c r="BW42" s="43">
        <f t="shared" si="25"/>
        <v>0</v>
      </c>
      <c r="BX42" s="43">
        <f t="shared" si="26"/>
        <v>0</v>
      </c>
      <c r="BY42" s="43">
        <f t="shared" si="27"/>
        <v>0</v>
      </c>
      <c r="BZ42" s="43">
        <f t="shared" si="28"/>
        <v>0</v>
      </c>
      <c r="CA42" s="40">
        <v>40198</v>
      </c>
      <c r="CB42" s="43">
        <f t="shared" si="80"/>
        <v>0</v>
      </c>
      <c r="CC42" s="43">
        <f t="shared" si="80"/>
        <v>0</v>
      </c>
      <c r="CD42" s="43">
        <f t="shared" si="80"/>
        <v>0</v>
      </c>
      <c r="CE42" s="43">
        <f t="shared" si="80"/>
        <v>0</v>
      </c>
      <c r="CF42" s="43">
        <f t="shared" si="80"/>
        <v>0</v>
      </c>
      <c r="CG42" s="43">
        <f t="shared" si="80"/>
        <v>0</v>
      </c>
      <c r="CH42" s="43">
        <f t="shared" si="80"/>
        <v>0</v>
      </c>
      <c r="CI42" s="43">
        <f t="shared" si="80"/>
        <v>0</v>
      </c>
      <c r="CJ42" s="43">
        <f t="shared" si="80"/>
        <v>0</v>
      </c>
      <c r="CK42" s="43">
        <f t="shared" si="80"/>
        <v>0</v>
      </c>
      <c r="CL42" s="43">
        <f t="shared" si="80"/>
        <v>0</v>
      </c>
      <c r="CM42" s="43">
        <f t="shared" si="80"/>
        <v>0</v>
      </c>
      <c r="CN42" s="43">
        <f t="shared" si="80"/>
        <v>0</v>
      </c>
      <c r="CO42" s="43">
        <f t="shared" si="80"/>
        <v>0</v>
      </c>
      <c r="CP42" s="43">
        <f t="shared" si="80"/>
        <v>0</v>
      </c>
      <c r="CQ42" s="43">
        <f t="shared" si="61"/>
        <v>0</v>
      </c>
      <c r="CR42" s="64">
        <f t="shared" si="45"/>
        <v>0</v>
      </c>
      <c r="CT42" s="40">
        <v>40198</v>
      </c>
      <c r="CU42" s="71">
        <f>+CU$3-SUM(AS$4:AS42)</f>
        <v>0</v>
      </c>
      <c r="CV42" s="71">
        <f>+CV$3-SUM(AT$4:AT42)</f>
        <v>1.0000050067901611E-2</v>
      </c>
      <c r="CW42" s="71">
        <f>+CW$3-SUM(AU$4:AU42)</f>
        <v>0</v>
      </c>
      <c r="CX42" s="71">
        <f>+CX$3-SUM(AV$4:AV42)</f>
        <v>720008815.95000005</v>
      </c>
      <c r="CY42" s="71">
        <f>+CY$3-SUM(AW$4:AW42)</f>
        <v>1698999999.9999998</v>
      </c>
      <c r="CZ42" s="71">
        <f>+CZ$3-SUM(AX$4:AX42)</f>
        <v>1038500000</v>
      </c>
      <c r="DA42" s="71">
        <f>+DA$3-SUM(AY$4:AY42)</f>
        <v>500000000</v>
      </c>
      <c r="DB42" s="71">
        <f>+DB$3-SUM(AZ$4:AZ42)</f>
        <v>0</v>
      </c>
      <c r="DC42" s="71">
        <f>+DC$3-SUM(BA$4:BA42)</f>
        <v>167000000</v>
      </c>
      <c r="DD42" s="71">
        <f>+DD$3-SUM(BB$4:BB42)</f>
        <v>23000000</v>
      </c>
      <c r="DE42" s="71">
        <f>+DE$3-SUM(BC$4:BC42)</f>
        <v>0</v>
      </c>
      <c r="DF42" s="71">
        <f>+DF$3-SUM(BD$4:BD42)</f>
        <v>91000000</v>
      </c>
      <c r="DG42" s="71">
        <f>+DG$3-SUM(BE$4:BE42)</f>
        <v>56000000</v>
      </c>
      <c r="DH42" s="71">
        <f>+DH$3-SUM(BF$4:BF42)</f>
        <v>70000000</v>
      </c>
      <c r="DI42" s="71">
        <f>+DI$3-SUM(BG$4:BG42)</f>
        <v>211000000.00000003</v>
      </c>
      <c r="DJ42" s="71">
        <f>+DJ$3-SUM(BH$4:BH42)</f>
        <v>20000000</v>
      </c>
    </row>
    <row r="43" spans="1:114">
      <c r="A43" s="75">
        <v>40231</v>
      </c>
      <c r="B43" s="76">
        <f t="shared" si="79"/>
        <v>0</v>
      </c>
      <c r="C43" s="76">
        <f t="shared" si="78"/>
        <v>0</v>
      </c>
      <c r="D43" s="76">
        <f t="shared" si="78"/>
        <v>0</v>
      </c>
      <c r="E43" s="76">
        <f t="shared" si="78"/>
        <v>409189972.6665988</v>
      </c>
      <c r="F43" s="76">
        <f t="shared" si="78"/>
        <v>1698999999.9999998</v>
      </c>
      <c r="G43" s="76">
        <f t="shared" si="78"/>
        <v>1038500000</v>
      </c>
      <c r="H43" s="76">
        <f t="shared" si="78"/>
        <v>500000000</v>
      </c>
      <c r="I43" s="76">
        <f t="shared" si="78"/>
        <v>0</v>
      </c>
      <c r="J43" s="76">
        <f t="shared" si="78"/>
        <v>167000000</v>
      </c>
      <c r="K43" s="76">
        <f t="shared" si="78"/>
        <v>23000000</v>
      </c>
      <c r="L43" s="76">
        <f t="shared" si="78"/>
        <v>0</v>
      </c>
      <c r="M43" s="76">
        <f t="shared" si="78"/>
        <v>91000000</v>
      </c>
      <c r="N43" s="76">
        <f t="shared" si="78"/>
        <v>56000000</v>
      </c>
      <c r="O43" s="76">
        <f t="shared" si="78"/>
        <v>70000000</v>
      </c>
      <c r="P43" s="76">
        <f t="shared" si="78"/>
        <v>211000000.00000003</v>
      </c>
      <c r="Q43" s="76">
        <f t="shared" si="78"/>
        <v>20000000</v>
      </c>
      <c r="S43" s="588">
        <v>40231</v>
      </c>
      <c r="T43" s="589">
        <f t="shared" si="47"/>
        <v>0</v>
      </c>
      <c r="U43" s="589">
        <f t="shared" si="62"/>
        <v>0</v>
      </c>
      <c r="V43" s="589">
        <f t="shared" si="63"/>
        <v>0</v>
      </c>
      <c r="W43" s="589">
        <f>+ROUND(E42-E43,2)</f>
        <v>310818843.29000002</v>
      </c>
      <c r="X43" s="589">
        <f t="shared" si="65"/>
        <v>0</v>
      </c>
      <c r="Y43" s="589">
        <f t="shared" si="66"/>
        <v>0</v>
      </c>
      <c r="Z43" s="589">
        <f t="shared" si="67"/>
        <v>0</v>
      </c>
      <c r="AA43" s="589">
        <f t="shared" si="68"/>
        <v>0</v>
      </c>
      <c r="AB43" s="589">
        <f t="shared" si="69"/>
        <v>0</v>
      </c>
      <c r="AC43" s="589">
        <f t="shared" si="70"/>
        <v>0</v>
      </c>
      <c r="AD43" s="589">
        <f t="shared" si="71"/>
        <v>0</v>
      </c>
      <c r="AE43" s="589">
        <f t="shared" si="72"/>
        <v>0</v>
      </c>
      <c r="AF43" s="589">
        <f t="shared" si="73"/>
        <v>0</v>
      </c>
      <c r="AG43" s="589">
        <f t="shared" si="74"/>
        <v>0</v>
      </c>
      <c r="AH43" s="589">
        <f t="shared" si="75"/>
        <v>0</v>
      </c>
      <c r="AI43" s="589">
        <f t="shared" si="76"/>
        <v>0</v>
      </c>
      <c r="AJ43" s="40">
        <v>40231</v>
      </c>
      <c r="AK43" s="187">
        <f t="shared" si="8"/>
        <v>3646689972.6665983</v>
      </c>
      <c r="AL43" s="43">
        <f t="shared" si="9"/>
        <v>3646689972.6665983</v>
      </c>
      <c r="AM43" s="43">
        <f t="shared" si="10"/>
        <v>3813689972.6665983</v>
      </c>
      <c r="AN43" s="43">
        <f t="shared" si="11"/>
        <v>3836689972.6665983</v>
      </c>
      <c r="AO43" s="43">
        <f t="shared" si="12"/>
        <v>14943759890.666393</v>
      </c>
      <c r="AR43" s="40">
        <v>40231</v>
      </c>
      <c r="AS43" s="63">
        <v>0</v>
      </c>
      <c r="AT43" s="63">
        <v>0</v>
      </c>
      <c r="AU43" s="63">
        <v>0</v>
      </c>
      <c r="AV43" s="85">
        <v>310818843.29000002</v>
      </c>
      <c r="AW43" s="63">
        <v>0</v>
      </c>
      <c r="AX43" s="63">
        <v>0</v>
      </c>
      <c r="AY43" s="63">
        <v>0</v>
      </c>
      <c r="AZ43" s="63">
        <v>0</v>
      </c>
      <c r="BA43" s="63">
        <v>0</v>
      </c>
      <c r="BB43" s="63">
        <v>0</v>
      </c>
      <c r="BC43" s="63">
        <v>0</v>
      </c>
      <c r="BD43" s="63">
        <v>0</v>
      </c>
      <c r="BE43" s="63">
        <v>0</v>
      </c>
      <c r="BF43" s="63">
        <v>0</v>
      </c>
      <c r="BG43" s="63">
        <v>0</v>
      </c>
      <c r="BH43" s="63">
        <v>0</v>
      </c>
      <c r="BJ43" s="40">
        <v>40231</v>
      </c>
      <c r="BK43" s="43">
        <f t="shared" si="13"/>
        <v>0</v>
      </c>
      <c r="BL43" s="43">
        <f t="shared" si="14"/>
        <v>0</v>
      </c>
      <c r="BM43" s="43">
        <f t="shared" si="15"/>
        <v>0</v>
      </c>
      <c r="BN43" s="43">
        <f t="shared" si="16"/>
        <v>0</v>
      </c>
      <c r="BO43" s="43">
        <f t="shared" si="17"/>
        <v>0</v>
      </c>
      <c r="BP43" s="43">
        <f t="shared" si="18"/>
        <v>0</v>
      </c>
      <c r="BQ43" s="43">
        <f t="shared" si="19"/>
        <v>0</v>
      </c>
      <c r="BR43" s="43">
        <f t="shared" si="20"/>
        <v>0</v>
      </c>
      <c r="BS43" s="43">
        <f t="shared" si="21"/>
        <v>0</v>
      </c>
      <c r="BT43" s="43">
        <f t="shared" si="22"/>
        <v>0</v>
      </c>
      <c r="BU43" s="43">
        <f t="shared" si="23"/>
        <v>0</v>
      </c>
      <c r="BV43" s="43">
        <f t="shared" si="24"/>
        <v>0</v>
      </c>
      <c r="BW43" s="43">
        <f t="shared" si="25"/>
        <v>0</v>
      </c>
      <c r="BX43" s="43">
        <f t="shared" si="26"/>
        <v>0</v>
      </c>
      <c r="BY43" s="43">
        <f t="shared" si="27"/>
        <v>0</v>
      </c>
      <c r="BZ43" s="43">
        <f t="shared" si="28"/>
        <v>0</v>
      </c>
      <c r="CA43" s="40">
        <v>40231</v>
      </c>
      <c r="CB43" s="43">
        <f t="shared" si="80"/>
        <v>0</v>
      </c>
      <c r="CC43" s="43">
        <f t="shared" si="80"/>
        <v>0</v>
      </c>
      <c r="CD43" s="43">
        <f t="shared" si="80"/>
        <v>0</v>
      </c>
      <c r="CE43" s="43">
        <f t="shared" si="80"/>
        <v>0</v>
      </c>
      <c r="CF43" s="43">
        <f t="shared" si="80"/>
        <v>0</v>
      </c>
      <c r="CG43" s="43">
        <f t="shared" si="80"/>
        <v>0</v>
      </c>
      <c r="CH43" s="43">
        <f t="shared" si="80"/>
        <v>0</v>
      </c>
      <c r="CI43" s="43">
        <f t="shared" si="80"/>
        <v>0</v>
      </c>
      <c r="CJ43" s="43">
        <f t="shared" si="80"/>
        <v>0</v>
      </c>
      <c r="CK43" s="43">
        <f t="shared" si="80"/>
        <v>0</v>
      </c>
      <c r="CL43" s="43">
        <f t="shared" si="80"/>
        <v>0</v>
      </c>
      <c r="CM43" s="43">
        <f t="shared" si="80"/>
        <v>0</v>
      </c>
      <c r="CN43" s="43">
        <f t="shared" si="80"/>
        <v>0</v>
      </c>
      <c r="CO43" s="43">
        <f t="shared" si="80"/>
        <v>0</v>
      </c>
      <c r="CP43" s="43">
        <f t="shared" si="80"/>
        <v>0</v>
      </c>
      <c r="CQ43" s="43">
        <f t="shared" si="61"/>
        <v>0</v>
      </c>
      <c r="CR43" s="64">
        <f t="shared" si="45"/>
        <v>0</v>
      </c>
      <c r="CT43" s="40">
        <v>40231</v>
      </c>
      <c r="CU43" s="71">
        <f>+CU$3-SUM(AS$4:AS43)</f>
        <v>0</v>
      </c>
      <c r="CV43" s="71">
        <f>+CV$3-SUM(AT$4:AT43)</f>
        <v>1.0000050067901611E-2</v>
      </c>
      <c r="CW43" s="71">
        <f>+CW$3-SUM(AU$4:AU43)</f>
        <v>0</v>
      </c>
      <c r="CX43" s="71">
        <f>+CX$3-SUM(AV$4:AV43)</f>
        <v>409189972.65999985</v>
      </c>
      <c r="CY43" s="71">
        <f>+CY$3-SUM(AW$4:AW43)</f>
        <v>1698999999.9999998</v>
      </c>
      <c r="CZ43" s="71">
        <f>+CZ$3-SUM(AX$4:AX43)</f>
        <v>1038500000</v>
      </c>
      <c r="DA43" s="71">
        <f>+DA$3-SUM(AY$4:AY43)</f>
        <v>500000000</v>
      </c>
      <c r="DB43" s="71">
        <f>+DB$3-SUM(AZ$4:AZ43)</f>
        <v>0</v>
      </c>
      <c r="DC43" s="71">
        <f>+DC$3-SUM(BA$4:BA43)</f>
        <v>167000000</v>
      </c>
      <c r="DD43" s="71">
        <f>+DD$3-SUM(BB$4:BB43)</f>
        <v>23000000</v>
      </c>
      <c r="DE43" s="71">
        <f>+DE$3-SUM(BC$4:BC43)</f>
        <v>0</v>
      </c>
      <c r="DF43" s="71">
        <f>+DF$3-SUM(BD$4:BD43)</f>
        <v>91000000</v>
      </c>
      <c r="DG43" s="71">
        <f>+DG$3-SUM(BE$4:BE43)</f>
        <v>56000000</v>
      </c>
      <c r="DH43" s="71">
        <f>+DH$3-SUM(BF$4:BF43)</f>
        <v>70000000</v>
      </c>
      <c r="DI43" s="71">
        <f>+DI$3-SUM(BG$4:BG43)</f>
        <v>211000000.00000003</v>
      </c>
      <c r="DJ43" s="71">
        <f>+DJ$3-SUM(BH$4:BH43)</f>
        <v>20000000</v>
      </c>
    </row>
    <row r="44" spans="1:114">
      <c r="A44" s="75">
        <v>40257</v>
      </c>
      <c r="B44" s="76">
        <f t="shared" si="79"/>
        <v>0</v>
      </c>
      <c r="C44" s="76">
        <f t="shared" si="78"/>
        <v>0</v>
      </c>
      <c r="D44" s="76">
        <f t="shared" si="78"/>
        <v>0</v>
      </c>
      <c r="E44" s="76">
        <f t="shared" si="78"/>
        <v>409189972.6665988</v>
      </c>
      <c r="F44" s="76">
        <f t="shared" si="78"/>
        <v>1698999999.9999998</v>
      </c>
      <c r="G44" s="76">
        <f t="shared" si="78"/>
        <v>1038500000</v>
      </c>
      <c r="H44" s="76">
        <f t="shared" si="78"/>
        <v>500000000</v>
      </c>
      <c r="I44" s="76">
        <f t="shared" si="78"/>
        <v>0</v>
      </c>
      <c r="J44" s="76">
        <f t="shared" si="78"/>
        <v>167000000</v>
      </c>
      <c r="K44" s="76">
        <f t="shared" si="78"/>
        <v>23000000</v>
      </c>
      <c r="L44" s="76">
        <f t="shared" si="78"/>
        <v>0</v>
      </c>
      <c r="M44" s="76">
        <f t="shared" si="78"/>
        <v>91000000</v>
      </c>
      <c r="N44" s="76">
        <f t="shared" si="78"/>
        <v>56000000</v>
      </c>
      <c r="O44" s="76">
        <f t="shared" si="78"/>
        <v>70000000</v>
      </c>
      <c r="P44" s="76">
        <f t="shared" si="78"/>
        <v>211000000.00000003</v>
      </c>
      <c r="Q44" s="76">
        <f t="shared" si="78"/>
        <v>20000000</v>
      </c>
      <c r="S44" s="40">
        <v>40257</v>
      </c>
      <c r="T44" s="82">
        <f t="shared" si="47"/>
        <v>0</v>
      </c>
      <c r="U44" s="82">
        <f t="shared" si="62"/>
        <v>0</v>
      </c>
      <c r="V44" s="82">
        <f t="shared" si="63"/>
        <v>0</v>
      </c>
      <c r="W44" s="82">
        <f t="shared" si="64"/>
        <v>0</v>
      </c>
      <c r="X44" s="82">
        <f t="shared" si="65"/>
        <v>0</v>
      </c>
      <c r="Y44" s="82">
        <f t="shared" si="66"/>
        <v>0</v>
      </c>
      <c r="Z44" s="82">
        <f t="shared" si="67"/>
        <v>0</v>
      </c>
      <c r="AA44" s="82">
        <f t="shared" si="68"/>
        <v>0</v>
      </c>
      <c r="AB44" s="82">
        <f t="shared" si="69"/>
        <v>0</v>
      </c>
      <c r="AC44" s="82">
        <f t="shared" si="70"/>
        <v>0</v>
      </c>
      <c r="AD44" s="82">
        <f t="shared" si="71"/>
        <v>0</v>
      </c>
      <c r="AE44" s="82">
        <f t="shared" si="72"/>
        <v>0</v>
      </c>
      <c r="AF44" s="82">
        <f t="shared" si="73"/>
        <v>0</v>
      </c>
      <c r="AG44" s="82">
        <f t="shared" si="74"/>
        <v>0</v>
      </c>
      <c r="AH44" s="82">
        <f t="shared" si="75"/>
        <v>0</v>
      </c>
      <c r="AI44" s="82">
        <f t="shared" si="76"/>
        <v>0</v>
      </c>
      <c r="AJ44" s="40">
        <v>40257</v>
      </c>
      <c r="AK44" s="187">
        <f t="shared" si="8"/>
        <v>3646689972.6665983</v>
      </c>
      <c r="AL44" s="43">
        <f t="shared" si="9"/>
        <v>3646689972.6665983</v>
      </c>
      <c r="AM44" s="43">
        <f t="shared" si="10"/>
        <v>3813689972.6665983</v>
      </c>
      <c r="AN44" s="43">
        <f t="shared" si="11"/>
        <v>3836689972.6665983</v>
      </c>
      <c r="AO44" s="43">
        <f t="shared" si="12"/>
        <v>14943759890.666393</v>
      </c>
      <c r="AR44" s="40">
        <v>40257</v>
      </c>
      <c r="AS44" s="63">
        <v>0</v>
      </c>
      <c r="AT44" s="63">
        <v>0</v>
      </c>
      <c r="AU44" s="63">
        <v>0</v>
      </c>
      <c r="AV44" s="63">
        <v>0</v>
      </c>
      <c r="AW44" s="63">
        <v>0</v>
      </c>
      <c r="AX44" s="63">
        <v>0</v>
      </c>
      <c r="AY44" s="63">
        <v>0</v>
      </c>
      <c r="AZ44" s="63">
        <v>0</v>
      </c>
      <c r="BA44" s="63">
        <v>0</v>
      </c>
      <c r="BB44" s="63">
        <v>0</v>
      </c>
      <c r="BC44" s="63">
        <v>0</v>
      </c>
      <c r="BD44" s="63">
        <v>0</v>
      </c>
      <c r="BE44" s="63">
        <v>0</v>
      </c>
      <c r="BF44" s="63">
        <v>0</v>
      </c>
      <c r="BG44" s="63">
        <v>0</v>
      </c>
      <c r="BH44" s="63">
        <v>0</v>
      </c>
      <c r="BJ44" s="40">
        <v>40257</v>
      </c>
      <c r="BK44" s="43">
        <f t="shared" si="13"/>
        <v>0</v>
      </c>
      <c r="BL44" s="43">
        <f t="shared" si="14"/>
        <v>0</v>
      </c>
      <c r="BM44" s="43">
        <f t="shared" si="15"/>
        <v>0</v>
      </c>
      <c r="BN44" s="43">
        <f t="shared" si="16"/>
        <v>0</v>
      </c>
      <c r="BO44" s="43">
        <f t="shared" si="17"/>
        <v>0</v>
      </c>
      <c r="BP44" s="43">
        <f t="shared" si="18"/>
        <v>0</v>
      </c>
      <c r="BQ44" s="43">
        <f t="shared" si="19"/>
        <v>0</v>
      </c>
      <c r="BR44" s="43">
        <f t="shared" si="20"/>
        <v>0</v>
      </c>
      <c r="BS44" s="43">
        <f t="shared" si="21"/>
        <v>0</v>
      </c>
      <c r="BT44" s="43">
        <f t="shared" si="22"/>
        <v>0</v>
      </c>
      <c r="BU44" s="43">
        <f t="shared" si="23"/>
        <v>0</v>
      </c>
      <c r="BV44" s="43">
        <f t="shared" si="24"/>
        <v>0</v>
      </c>
      <c r="BW44" s="43">
        <f t="shared" si="25"/>
        <v>0</v>
      </c>
      <c r="BX44" s="43">
        <f t="shared" si="26"/>
        <v>0</v>
      </c>
      <c r="BY44" s="43">
        <f t="shared" si="27"/>
        <v>0</v>
      </c>
      <c r="BZ44" s="43">
        <f t="shared" si="28"/>
        <v>0</v>
      </c>
      <c r="CA44" s="40">
        <v>40257</v>
      </c>
      <c r="CB44" s="43">
        <f t="shared" si="80"/>
        <v>0</v>
      </c>
      <c r="CC44" s="43">
        <f t="shared" si="80"/>
        <v>0</v>
      </c>
      <c r="CD44" s="43">
        <f t="shared" si="80"/>
        <v>0</v>
      </c>
      <c r="CE44" s="43">
        <f t="shared" si="80"/>
        <v>0</v>
      </c>
      <c r="CF44" s="43">
        <f t="shared" si="80"/>
        <v>0</v>
      </c>
      <c r="CG44" s="43">
        <f t="shared" si="80"/>
        <v>0</v>
      </c>
      <c r="CH44" s="43">
        <f t="shared" si="80"/>
        <v>0</v>
      </c>
      <c r="CI44" s="43">
        <f t="shared" si="80"/>
        <v>0</v>
      </c>
      <c r="CJ44" s="43">
        <f t="shared" si="80"/>
        <v>0</v>
      </c>
      <c r="CK44" s="43">
        <f t="shared" si="80"/>
        <v>0</v>
      </c>
      <c r="CL44" s="43">
        <f t="shared" si="80"/>
        <v>0</v>
      </c>
      <c r="CM44" s="43">
        <f t="shared" si="80"/>
        <v>0</v>
      </c>
      <c r="CN44" s="43">
        <f t="shared" si="80"/>
        <v>0</v>
      </c>
      <c r="CO44" s="43">
        <f t="shared" si="80"/>
        <v>0</v>
      </c>
      <c r="CP44" s="43">
        <f t="shared" si="80"/>
        <v>0</v>
      </c>
      <c r="CQ44" s="43">
        <f t="shared" si="61"/>
        <v>0</v>
      </c>
      <c r="CR44" s="64">
        <f t="shared" si="45"/>
        <v>0</v>
      </c>
      <c r="CT44" s="40">
        <v>40257</v>
      </c>
      <c r="CU44" s="71">
        <f>+CU$3-SUM(AS$4:AS44)</f>
        <v>0</v>
      </c>
      <c r="CV44" s="71">
        <f>+CV$3-SUM(AT$4:AT44)</f>
        <v>1.0000050067901611E-2</v>
      </c>
      <c r="CW44" s="71">
        <f>+CW$3-SUM(AU$4:AU44)</f>
        <v>0</v>
      </c>
      <c r="CX44" s="71">
        <f>+CX$3-SUM(AV$4:AV44)</f>
        <v>409189972.65999985</v>
      </c>
      <c r="CY44" s="71">
        <f>+CY$3-SUM(AW$4:AW44)</f>
        <v>1698999999.9999998</v>
      </c>
      <c r="CZ44" s="71">
        <f>+CZ$3-SUM(AX$4:AX44)</f>
        <v>1038500000</v>
      </c>
      <c r="DA44" s="71">
        <f>+DA$3-SUM(AY$4:AY44)</f>
        <v>500000000</v>
      </c>
      <c r="DB44" s="71">
        <f>+DB$3-SUM(AZ$4:AZ44)</f>
        <v>0</v>
      </c>
      <c r="DC44" s="71">
        <f>+DC$3-SUM(BA$4:BA44)</f>
        <v>167000000</v>
      </c>
      <c r="DD44" s="71">
        <f>+DD$3-SUM(BB$4:BB44)</f>
        <v>23000000</v>
      </c>
      <c r="DE44" s="71">
        <f>+DE$3-SUM(BC$4:BC44)</f>
        <v>0</v>
      </c>
      <c r="DF44" s="71">
        <f>+DF$3-SUM(BD$4:BD44)</f>
        <v>91000000</v>
      </c>
      <c r="DG44" s="71">
        <f>+DG$3-SUM(BE$4:BE44)</f>
        <v>56000000</v>
      </c>
      <c r="DH44" s="71">
        <f>+DH$3-SUM(BF$4:BF44)</f>
        <v>70000000</v>
      </c>
      <c r="DI44" s="71">
        <f>+DI$3-SUM(BG$4:BG44)</f>
        <v>211000000.00000003</v>
      </c>
      <c r="DJ44" s="71">
        <f>+DJ$3-SUM(BH$4:BH44)</f>
        <v>20000000</v>
      </c>
    </row>
    <row r="45" spans="1:114">
      <c r="A45" s="75">
        <v>40288</v>
      </c>
      <c r="B45" s="76">
        <f t="shared" si="79"/>
        <v>0</v>
      </c>
      <c r="C45" s="76">
        <f t="shared" si="78"/>
        <v>0</v>
      </c>
      <c r="D45" s="76">
        <f t="shared" si="78"/>
        <v>0</v>
      </c>
      <c r="E45" s="76">
        <f t="shared" si="78"/>
        <v>409189972.6665988</v>
      </c>
      <c r="F45" s="76">
        <f t="shared" si="78"/>
        <v>1698999999.9999998</v>
      </c>
      <c r="G45" s="76">
        <f t="shared" si="78"/>
        <v>1038500000</v>
      </c>
      <c r="H45" s="76">
        <f t="shared" si="78"/>
        <v>500000000</v>
      </c>
      <c r="I45" s="76">
        <f t="shared" si="78"/>
        <v>0</v>
      </c>
      <c r="J45" s="76">
        <f t="shared" si="78"/>
        <v>167000000</v>
      </c>
      <c r="K45" s="76">
        <f t="shared" si="78"/>
        <v>23000000</v>
      </c>
      <c r="L45" s="76">
        <f t="shared" si="78"/>
        <v>0</v>
      </c>
      <c r="M45" s="76">
        <f t="shared" si="78"/>
        <v>91000000</v>
      </c>
      <c r="N45" s="76">
        <f t="shared" si="78"/>
        <v>56000000</v>
      </c>
      <c r="O45" s="76">
        <f t="shared" si="78"/>
        <v>70000000</v>
      </c>
      <c r="P45" s="76">
        <f t="shared" si="78"/>
        <v>211000000.00000003</v>
      </c>
      <c r="Q45" s="76">
        <f t="shared" si="78"/>
        <v>20000000</v>
      </c>
      <c r="S45" s="40">
        <v>40288</v>
      </c>
      <c r="T45" s="82">
        <f t="shared" si="47"/>
        <v>0</v>
      </c>
      <c r="U45" s="82">
        <f t="shared" si="62"/>
        <v>0</v>
      </c>
      <c r="V45" s="82">
        <f t="shared" si="63"/>
        <v>0</v>
      </c>
      <c r="W45" s="82">
        <f t="shared" si="64"/>
        <v>0</v>
      </c>
      <c r="X45" s="82">
        <f t="shared" si="65"/>
        <v>0</v>
      </c>
      <c r="Y45" s="82">
        <f t="shared" si="66"/>
        <v>0</v>
      </c>
      <c r="Z45" s="82">
        <f t="shared" si="67"/>
        <v>0</v>
      </c>
      <c r="AA45" s="82">
        <f t="shared" si="68"/>
        <v>0</v>
      </c>
      <c r="AB45" s="82">
        <f t="shared" si="69"/>
        <v>0</v>
      </c>
      <c r="AC45" s="82">
        <f t="shared" si="70"/>
        <v>0</v>
      </c>
      <c r="AD45" s="82">
        <f t="shared" si="71"/>
        <v>0</v>
      </c>
      <c r="AE45" s="82">
        <f t="shared" si="72"/>
        <v>0</v>
      </c>
      <c r="AF45" s="82">
        <f t="shared" si="73"/>
        <v>0</v>
      </c>
      <c r="AG45" s="82">
        <f t="shared" si="74"/>
        <v>0</v>
      </c>
      <c r="AH45" s="82">
        <f t="shared" si="75"/>
        <v>0</v>
      </c>
      <c r="AI45" s="82">
        <f t="shared" si="76"/>
        <v>0</v>
      </c>
      <c r="AJ45" s="40">
        <v>40288</v>
      </c>
      <c r="AK45" s="187">
        <f t="shared" si="8"/>
        <v>3646689972.6665983</v>
      </c>
      <c r="AL45" s="43">
        <f t="shared" si="9"/>
        <v>3646689972.6665983</v>
      </c>
      <c r="AM45" s="43">
        <f t="shared" si="10"/>
        <v>3813689972.6665983</v>
      </c>
      <c r="AN45" s="43">
        <f t="shared" si="11"/>
        <v>3836689972.6665983</v>
      </c>
      <c r="AO45" s="43">
        <f t="shared" si="12"/>
        <v>14943759890.666393</v>
      </c>
      <c r="AR45" s="40">
        <v>40288</v>
      </c>
      <c r="AS45" s="63">
        <v>0</v>
      </c>
      <c r="AT45" s="63">
        <v>0</v>
      </c>
      <c r="AU45" s="63">
        <v>0</v>
      </c>
      <c r="AV45" s="63">
        <v>0</v>
      </c>
      <c r="AW45" s="63">
        <v>0</v>
      </c>
      <c r="AX45" s="63">
        <v>0</v>
      </c>
      <c r="AY45" s="63">
        <v>0</v>
      </c>
      <c r="AZ45" s="63">
        <v>0</v>
      </c>
      <c r="BA45" s="63">
        <v>0</v>
      </c>
      <c r="BB45" s="63">
        <v>0</v>
      </c>
      <c r="BC45" s="63">
        <v>0</v>
      </c>
      <c r="BD45" s="63">
        <v>0</v>
      </c>
      <c r="BE45" s="63">
        <v>0</v>
      </c>
      <c r="BF45" s="63">
        <v>0</v>
      </c>
      <c r="BG45" s="63">
        <v>0</v>
      </c>
      <c r="BH45" s="63">
        <v>0</v>
      </c>
      <c r="BJ45" s="40">
        <v>40288</v>
      </c>
      <c r="BK45" s="43">
        <f t="shared" si="13"/>
        <v>0</v>
      </c>
      <c r="BL45" s="43">
        <f t="shared" si="14"/>
        <v>0</v>
      </c>
      <c r="BM45" s="43">
        <f t="shared" si="15"/>
        <v>0</v>
      </c>
      <c r="BN45" s="43">
        <f t="shared" si="16"/>
        <v>0</v>
      </c>
      <c r="BO45" s="43">
        <f t="shared" si="17"/>
        <v>0</v>
      </c>
      <c r="BP45" s="43">
        <f t="shared" si="18"/>
        <v>0</v>
      </c>
      <c r="BQ45" s="43">
        <f t="shared" si="19"/>
        <v>0</v>
      </c>
      <c r="BR45" s="43">
        <f t="shared" si="20"/>
        <v>0</v>
      </c>
      <c r="BS45" s="43">
        <f t="shared" si="21"/>
        <v>0</v>
      </c>
      <c r="BT45" s="43">
        <f t="shared" si="22"/>
        <v>0</v>
      </c>
      <c r="BU45" s="43">
        <f t="shared" si="23"/>
        <v>0</v>
      </c>
      <c r="BV45" s="43">
        <f t="shared" si="24"/>
        <v>0</v>
      </c>
      <c r="BW45" s="43">
        <f t="shared" si="25"/>
        <v>0</v>
      </c>
      <c r="BX45" s="43">
        <f t="shared" si="26"/>
        <v>0</v>
      </c>
      <c r="BY45" s="43">
        <f t="shared" si="27"/>
        <v>0</v>
      </c>
      <c r="BZ45" s="43">
        <f t="shared" si="28"/>
        <v>0</v>
      </c>
      <c r="CA45" s="40">
        <v>40288</v>
      </c>
      <c r="CB45" s="43">
        <f t="shared" si="80"/>
        <v>0</v>
      </c>
      <c r="CC45" s="43">
        <f t="shared" si="80"/>
        <v>0</v>
      </c>
      <c r="CD45" s="43">
        <f t="shared" si="80"/>
        <v>0</v>
      </c>
      <c r="CE45" s="43">
        <f t="shared" si="80"/>
        <v>0</v>
      </c>
      <c r="CF45" s="43">
        <f t="shared" si="80"/>
        <v>0</v>
      </c>
      <c r="CG45" s="43">
        <f t="shared" si="80"/>
        <v>0</v>
      </c>
      <c r="CH45" s="43">
        <f t="shared" si="80"/>
        <v>0</v>
      </c>
      <c r="CI45" s="43">
        <f t="shared" si="80"/>
        <v>0</v>
      </c>
      <c r="CJ45" s="43">
        <f t="shared" si="80"/>
        <v>0</v>
      </c>
      <c r="CK45" s="43">
        <f t="shared" si="80"/>
        <v>0</v>
      </c>
      <c r="CL45" s="43">
        <f t="shared" si="80"/>
        <v>0</v>
      </c>
      <c r="CM45" s="43">
        <f t="shared" si="80"/>
        <v>0</v>
      </c>
      <c r="CN45" s="43">
        <f t="shared" si="80"/>
        <v>0</v>
      </c>
      <c r="CO45" s="43">
        <f t="shared" si="80"/>
        <v>0</v>
      </c>
      <c r="CP45" s="43">
        <f t="shared" si="80"/>
        <v>0</v>
      </c>
      <c r="CQ45" s="43">
        <f t="shared" si="61"/>
        <v>0</v>
      </c>
      <c r="CR45" s="64">
        <f t="shared" si="45"/>
        <v>0</v>
      </c>
      <c r="CT45" s="40">
        <v>40288</v>
      </c>
      <c r="CU45" s="71">
        <f>+CU$3-SUM(AS$4:AS45)</f>
        <v>0</v>
      </c>
      <c r="CV45" s="71">
        <f>+CV$3-SUM(AT$4:AT45)</f>
        <v>1.0000050067901611E-2</v>
      </c>
      <c r="CW45" s="71">
        <f>+CW$3-SUM(AU$4:AU45)</f>
        <v>0</v>
      </c>
      <c r="CX45" s="71">
        <f>+CX$3-SUM(AV$4:AV45)</f>
        <v>409189972.65999985</v>
      </c>
      <c r="CY45" s="71">
        <f>+CY$3-SUM(AW$4:AW45)</f>
        <v>1698999999.9999998</v>
      </c>
      <c r="CZ45" s="71">
        <f>+CZ$3-SUM(AX$4:AX45)</f>
        <v>1038500000</v>
      </c>
      <c r="DA45" s="71">
        <f>+DA$3-SUM(AY$4:AY45)</f>
        <v>500000000</v>
      </c>
      <c r="DB45" s="71">
        <f>+DB$3-SUM(AZ$4:AZ45)</f>
        <v>0</v>
      </c>
      <c r="DC45" s="71">
        <f>+DC$3-SUM(BA$4:BA45)</f>
        <v>167000000</v>
      </c>
      <c r="DD45" s="71">
        <f>+DD$3-SUM(BB$4:BB45)</f>
        <v>23000000</v>
      </c>
      <c r="DE45" s="71">
        <f>+DE$3-SUM(BC$4:BC45)</f>
        <v>0</v>
      </c>
      <c r="DF45" s="71">
        <f>+DF$3-SUM(BD$4:BD45)</f>
        <v>91000000</v>
      </c>
      <c r="DG45" s="71">
        <f>+DG$3-SUM(BE$4:BE45)</f>
        <v>56000000</v>
      </c>
      <c r="DH45" s="71">
        <f>+DH$3-SUM(BF$4:BF45)</f>
        <v>70000000</v>
      </c>
      <c r="DI45" s="71">
        <f>+DI$3-SUM(BG$4:BG45)</f>
        <v>211000000.00000003</v>
      </c>
      <c r="DJ45" s="71">
        <f>+DJ$3-SUM(BH$4:BH45)</f>
        <v>20000000</v>
      </c>
    </row>
    <row r="46" spans="1:114">
      <c r="A46" s="75">
        <v>40318</v>
      </c>
      <c r="B46" s="76">
        <f t="shared" si="79"/>
        <v>0</v>
      </c>
      <c r="C46" s="76">
        <f t="shared" si="78"/>
        <v>0</v>
      </c>
      <c r="D46" s="76">
        <f t="shared" si="78"/>
        <v>0</v>
      </c>
      <c r="E46" s="76">
        <f t="shared" si="78"/>
        <v>115235659.70234725</v>
      </c>
      <c r="F46" s="76">
        <f t="shared" si="78"/>
        <v>1698999999.9999998</v>
      </c>
      <c r="G46" s="76">
        <f t="shared" si="78"/>
        <v>1038500000</v>
      </c>
      <c r="H46" s="76">
        <f t="shared" si="78"/>
        <v>500000000</v>
      </c>
      <c r="I46" s="76">
        <f t="shared" si="78"/>
        <v>0</v>
      </c>
      <c r="J46" s="76">
        <f t="shared" si="78"/>
        <v>167000000</v>
      </c>
      <c r="K46" s="76">
        <f t="shared" si="78"/>
        <v>23000000</v>
      </c>
      <c r="L46" s="76">
        <f t="shared" si="78"/>
        <v>0</v>
      </c>
      <c r="M46" s="76">
        <f t="shared" si="78"/>
        <v>91000000</v>
      </c>
      <c r="N46" s="76">
        <f t="shared" si="78"/>
        <v>56000000</v>
      </c>
      <c r="O46" s="76">
        <f t="shared" si="78"/>
        <v>70000000</v>
      </c>
      <c r="P46" s="76">
        <f t="shared" si="78"/>
        <v>211000000.00000003</v>
      </c>
      <c r="Q46" s="76">
        <f t="shared" si="78"/>
        <v>20000000</v>
      </c>
      <c r="S46" s="588">
        <v>40318</v>
      </c>
      <c r="T46" s="589">
        <f t="shared" si="47"/>
        <v>0</v>
      </c>
      <c r="U46" s="589">
        <f t="shared" si="62"/>
        <v>0</v>
      </c>
      <c r="V46" s="589">
        <f t="shared" si="63"/>
        <v>0</v>
      </c>
      <c r="W46" s="589">
        <f t="shared" si="64"/>
        <v>293954312.95999998</v>
      </c>
      <c r="X46" s="589">
        <f t="shared" si="65"/>
        <v>0</v>
      </c>
      <c r="Y46" s="589">
        <f t="shared" si="66"/>
        <v>0</v>
      </c>
      <c r="Z46" s="589">
        <f t="shared" si="67"/>
        <v>0</v>
      </c>
      <c r="AA46" s="589">
        <f t="shared" si="68"/>
        <v>0</v>
      </c>
      <c r="AB46" s="589">
        <f t="shared" si="69"/>
        <v>0</v>
      </c>
      <c r="AC46" s="589">
        <f t="shared" si="70"/>
        <v>0</v>
      </c>
      <c r="AD46" s="589">
        <f t="shared" si="71"/>
        <v>0</v>
      </c>
      <c r="AE46" s="589">
        <f t="shared" si="72"/>
        <v>0</v>
      </c>
      <c r="AF46" s="589">
        <f t="shared" si="73"/>
        <v>0</v>
      </c>
      <c r="AG46" s="589">
        <f t="shared" si="74"/>
        <v>0</v>
      </c>
      <c r="AH46" s="589">
        <f t="shared" si="75"/>
        <v>0</v>
      </c>
      <c r="AI46" s="589">
        <f t="shared" si="76"/>
        <v>0</v>
      </c>
      <c r="AJ46" s="40">
        <v>40318</v>
      </c>
      <c r="AK46" s="187">
        <f t="shared" si="8"/>
        <v>3352735659.7023468</v>
      </c>
      <c r="AL46" s="43">
        <f t="shared" si="9"/>
        <v>3352735659.7023468</v>
      </c>
      <c r="AM46" s="43">
        <f t="shared" si="10"/>
        <v>3519735659.7023468</v>
      </c>
      <c r="AN46" s="43">
        <f t="shared" si="11"/>
        <v>3542735659.7023468</v>
      </c>
      <c r="AO46" s="43">
        <f t="shared" si="12"/>
        <v>13767942638.809387</v>
      </c>
      <c r="AR46" s="40">
        <v>40318</v>
      </c>
      <c r="AS46" s="63">
        <v>0</v>
      </c>
      <c r="AT46" s="63">
        <v>0</v>
      </c>
      <c r="AU46" s="63">
        <v>0</v>
      </c>
      <c r="AV46" s="85">
        <v>293954312.95999998</v>
      </c>
      <c r="AW46" s="63">
        <v>0</v>
      </c>
      <c r="AX46" s="63">
        <v>0</v>
      </c>
      <c r="AY46" s="63">
        <v>0</v>
      </c>
      <c r="AZ46" s="63">
        <v>0</v>
      </c>
      <c r="BA46" s="63">
        <v>0</v>
      </c>
      <c r="BB46" s="63">
        <v>0</v>
      </c>
      <c r="BC46" s="63">
        <v>0</v>
      </c>
      <c r="BD46" s="63">
        <v>0</v>
      </c>
      <c r="BE46" s="63">
        <v>0</v>
      </c>
      <c r="BF46" s="63">
        <v>0</v>
      </c>
      <c r="BG46" s="63">
        <v>0</v>
      </c>
      <c r="BH46" s="63">
        <v>0</v>
      </c>
      <c r="BJ46" s="40">
        <v>40318</v>
      </c>
      <c r="BK46" s="43">
        <f t="shared" si="13"/>
        <v>0</v>
      </c>
      <c r="BL46" s="43">
        <f t="shared" si="14"/>
        <v>0</v>
      </c>
      <c r="BM46" s="43">
        <f t="shared" si="15"/>
        <v>0</v>
      </c>
      <c r="BN46" s="43">
        <f t="shared" si="16"/>
        <v>0</v>
      </c>
      <c r="BO46" s="43">
        <f t="shared" si="17"/>
        <v>0</v>
      </c>
      <c r="BP46" s="43">
        <f t="shared" si="18"/>
        <v>0</v>
      </c>
      <c r="BQ46" s="43">
        <f t="shared" si="19"/>
        <v>0</v>
      </c>
      <c r="BR46" s="43">
        <f t="shared" si="20"/>
        <v>0</v>
      </c>
      <c r="BS46" s="43">
        <f t="shared" si="21"/>
        <v>0</v>
      </c>
      <c r="BT46" s="43">
        <f t="shared" si="22"/>
        <v>0</v>
      </c>
      <c r="BU46" s="43">
        <f t="shared" si="23"/>
        <v>0</v>
      </c>
      <c r="BV46" s="43">
        <f t="shared" si="24"/>
        <v>0</v>
      </c>
      <c r="BW46" s="43">
        <f t="shared" si="25"/>
        <v>0</v>
      </c>
      <c r="BX46" s="43">
        <f t="shared" si="26"/>
        <v>0</v>
      </c>
      <c r="BY46" s="43">
        <f t="shared" si="27"/>
        <v>0</v>
      </c>
      <c r="BZ46" s="43">
        <f t="shared" si="28"/>
        <v>0</v>
      </c>
      <c r="CA46" s="40">
        <v>40318</v>
      </c>
      <c r="CB46" s="43">
        <f t="shared" si="80"/>
        <v>0</v>
      </c>
      <c r="CC46" s="43">
        <f t="shared" si="80"/>
        <v>0</v>
      </c>
      <c r="CD46" s="43">
        <f t="shared" si="80"/>
        <v>0</v>
      </c>
      <c r="CE46" s="43">
        <f t="shared" si="80"/>
        <v>0</v>
      </c>
      <c r="CF46" s="43">
        <f t="shared" si="80"/>
        <v>0</v>
      </c>
      <c r="CG46" s="43">
        <f t="shared" si="80"/>
        <v>0</v>
      </c>
      <c r="CH46" s="43">
        <f t="shared" si="80"/>
        <v>0</v>
      </c>
      <c r="CI46" s="43">
        <f t="shared" si="80"/>
        <v>0</v>
      </c>
      <c r="CJ46" s="43">
        <f t="shared" si="80"/>
        <v>0</v>
      </c>
      <c r="CK46" s="43">
        <f t="shared" si="80"/>
        <v>0</v>
      </c>
      <c r="CL46" s="43">
        <f t="shared" si="80"/>
        <v>0</v>
      </c>
      <c r="CM46" s="43">
        <f t="shared" si="80"/>
        <v>0</v>
      </c>
      <c r="CN46" s="43">
        <f t="shared" si="80"/>
        <v>0</v>
      </c>
      <c r="CO46" s="43">
        <f t="shared" si="80"/>
        <v>0</v>
      </c>
      <c r="CP46" s="43">
        <f t="shared" si="80"/>
        <v>0</v>
      </c>
      <c r="CQ46" s="43">
        <f t="shared" si="61"/>
        <v>0</v>
      </c>
      <c r="CR46" s="64">
        <f t="shared" si="45"/>
        <v>0</v>
      </c>
      <c r="CT46" s="40">
        <v>40318</v>
      </c>
      <c r="CU46" s="71">
        <f>+CU$3-SUM(AS$4:AS46)</f>
        <v>0</v>
      </c>
      <c r="CV46" s="71">
        <f>+CV$3-SUM(AT$4:AT46)</f>
        <v>1.0000050067901611E-2</v>
      </c>
      <c r="CW46" s="71">
        <f>+CW$3-SUM(AU$4:AU46)</f>
        <v>0</v>
      </c>
      <c r="CX46" s="71">
        <f>+CX$3-SUM(AV$4:AV46)</f>
        <v>115235659.69999981</v>
      </c>
      <c r="CY46" s="71">
        <f>+CY$3-SUM(AW$4:AW46)</f>
        <v>1698999999.9999998</v>
      </c>
      <c r="CZ46" s="71">
        <f>+CZ$3-SUM(AX$4:AX46)</f>
        <v>1038500000</v>
      </c>
      <c r="DA46" s="71">
        <f>+DA$3-SUM(AY$4:AY46)</f>
        <v>500000000</v>
      </c>
      <c r="DB46" s="71">
        <f>+DB$3-SUM(AZ$4:AZ46)</f>
        <v>0</v>
      </c>
      <c r="DC46" s="71">
        <f>+DC$3-SUM(BA$4:BA46)</f>
        <v>167000000</v>
      </c>
      <c r="DD46" s="71">
        <f>+DD$3-SUM(BB$4:BB46)</f>
        <v>23000000</v>
      </c>
      <c r="DE46" s="71">
        <f>+DE$3-SUM(BC$4:BC46)</f>
        <v>0</v>
      </c>
      <c r="DF46" s="71">
        <f>+DF$3-SUM(BD$4:BD46)</f>
        <v>91000000</v>
      </c>
      <c r="DG46" s="71">
        <f>+DG$3-SUM(BE$4:BE46)</f>
        <v>56000000</v>
      </c>
      <c r="DH46" s="71">
        <f>+DH$3-SUM(BF$4:BF46)</f>
        <v>70000000</v>
      </c>
      <c r="DI46" s="71">
        <f>+DI$3-SUM(BG$4:BG46)</f>
        <v>211000000.00000003</v>
      </c>
      <c r="DJ46" s="71">
        <f>+DJ$3-SUM(BH$4:BH46)</f>
        <v>20000000</v>
      </c>
    </row>
    <row r="47" spans="1:114">
      <c r="A47" s="75">
        <v>40349</v>
      </c>
      <c r="B47" s="76">
        <f t="shared" si="79"/>
        <v>0</v>
      </c>
      <c r="C47" s="76">
        <f t="shared" si="78"/>
        <v>0</v>
      </c>
      <c r="D47" s="76">
        <f t="shared" si="78"/>
        <v>0</v>
      </c>
      <c r="E47" s="76">
        <f t="shared" si="78"/>
        <v>115235659.70234725</v>
      </c>
      <c r="F47" s="76">
        <f t="shared" si="78"/>
        <v>1698999999.9999998</v>
      </c>
      <c r="G47" s="76">
        <f t="shared" si="78"/>
        <v>1038500000</v>
      </c>
      <c r="H47" s="76">
        <f t="shared" si="78"/>
        <v>500000000</v>
      </c>
      <c r="I47" s="76">
        <f t="shared" si="78"/>
        <v>0</v>
      </c>
      <c r="J47" s="76">
        <f t="shared" si="78"/>
        <v>167000000</v>
      </c>
      <c r="K47" s="76">
        <f t="shared" si="78"/>
        <v>23000000</v>
      </c>
      <c r="L47" s="76">
        <f t="shared" si="78"/>
        <v>0</v>
      </c>
      <c r="M47" s="76">
        <f t="shared" si="78"/>
        <v>91000000</v>
      </c>
      <c r="N47" s="76">
        <f t="shared" si="78"/>
        <v>56000000</v>
      </c>
      <c r="O47" s="76">
        <f t="shared" si="78"/>
        <v>70000000</v>
      </c>
      <c r="P47" s="76">
        <f t="shared" si="78"/>
        <v>211000000.00000003</v>
      </c>
      <c r="Q47" s="76">
        <f t="shared" si="78"/>
        <v>20000000</v>
      </c>
      <c r="S47" s="40">
        <v>40349</v>
      </c>
      <c r="T47" s="82">
        <f t="shared" si="47"/>
        <v>0</v>
      </c>
      <c r="U47" s="82">
        <f t="shared" si="62"/>
        <v>0</v>
      </c>
      <c r="V47" s="82">
        <f t="shared" si="63"/>
        <v>0</v>
      </c>
      <c r="W47" s="82">
        <f t="shared" si="64"/>
        <v>0</v>
      </c>
      <c r="X47" s="82">
        <f t="shared" si="65"/>
        <v>0</v>
      </c>
      <c r="Y47" s="82">
        <f t="shared" si="66"/>
        <v>0</v>
      </c>
      <c r="Z47" s="82">
        <f t="shared" si="67"/>
        <v>0</v>
      </c>
      <c r="AA47" s="82">
        <f t="shared" si="68"/>
        <v>0</v>
      </c>
      <c r="AB47" s="82">
        <f t="shared" si="69"/>
        <v>0</v>
      </c>
      <c r="AC47" s="82">
        <f t="shared" si="70"/>
        <v>0</v>
      </c>
      <c r="AD47" s="82">
        <f t="shared" si="71"/>
        <v>0</v>
      </c>
      <c r="AE47" s="82">
        <f t="shared" si="72"/>
        <v>0</v>
      </c>
      <c r="AF47" s="82">
        <f t="shared" si="73"/>
        <v>0</v>
      </c>
      <c r="AG47" s="82">
        <f t="shared" si="74"/>
        <v>0</v>
      </c>
      <c r="AH47" s="82">
        <f t="shared" si="75"/>
        <v>0</v>
      </c>
      <c r="AI47" s="82">
        <f t="shared" si="76"/>
        <v>0</v>
      </c>
      <c r="AJ47" s="40">
        <v>40349</v>
      </c>
      <c r="AK47" s="187">
        <f t="shared" si="8"/>
        <v>3352735659.7023468</v>
      </c>
      <c r="AL47" s="43">
        <f t="shared" si="9"/>
        <v>3352735659.7023468</v>
      </c>
      <c r="AM47" s="43">
        <f t="shared" si="10"/>
        <v>3519735659.7023468</v>
      </c>
      <c r="AN47" s="43">
        <f t="shared" si="11"/>
        <v>3542735659.7023468</v>
      </c>
      <c r="AO47" s="43">
        <f t="shared" si="12"/>
        <v>13767942638.809387</v>
      </c>
      <c r="AR47" s="40">
        <v>40349</v>
      </c>
      <c r="AS47" s="63">
        <v>0</v>
      </c>
      <c r="AT47" s="63">
        <v>0</v>
      </c>
      <c r="AU47" s="63">
        <v>0</v>
      </c>
      <c r="AV47" s="63">
        <v>0</v>
      </c>
      <c r="AW47" s="63">
        <v>0</v>
      </c>
      <c r="AX47" s="63">
        <v>0</v>
      </c>
      <c r="AY47" s="63">
        <v>0</v>
      </c>
      <c r="AZ47" s="63">
        <v>0</v>
      </c>
      <c r="BA47" s="63">
        <v>0</v>
      </c>
      <c r="BB47" s="63">
        <v>0</v>
      </c>
      <c r="BC47" s="63">
        <v>0</v>
      </c>
      <c r="BD47" s="63">
        <v>0</v>
      </c>
      <c r="BE47" s="63">
        <v>0</v>
      </c>
      <c r="BF47" s="63">
        <v>0</v>
      </c>
      <c r="BG47" s="63">
        <v>0</v>
      </c>
      <c r="BH47" s="63">
        <v>0</v>
      </c>
      <c r="BJ47" s="40">
        <v>40349</v>
      </c>
      <c r="BK47" s="43">
        <f t="shared" si="13"/>
        <v>0</v>
      </c>
      <c r="BL47" s="43">
        <f t="shared" si="14"/>
        <v>0</v>
      </c>
      <c r="BM47" s="43">
        <f t="shared" si="15"/>
        <v>0</v>
      </c>
      <c r="BN47" s="43">
        <f t="shared" si="16"/>
        <v>0</v>
      </c>
      <c r="BO47" s="43">
        <f t="shared" si="17"/>
        <v>0</v>
      </c>
      <c r="BP47" s="43">
        <f t="shared" si="18"/>
        <v>0</v>
      </c>
      <c r="BQ47" s="43">
        <f t="shared" si="19"/>
        <v>0</v>
      </c>
      <c r="BR47" s="43">
        <f t="shared" si="20"/>
        <v>0</v>
      </c>
      <c r="BS47" s="43">
        <f t="shared" si="21"/>
        <v>0</v>
      </c>
      <c r="BT47" s="43">
        <f t="shared" si="22"/>
        <v>0</v>
      </c>
      <c r="BU47" s="43">
        <f t="shared" si="23"/>
        <v>0</v>
      </c>
      <c r="BV47" s="43">
        <f t="shared" si="24"/>
        <v>0</v>
      </c>
      <c r="BW47" s="43">
        <f t="shared" si="25"/>
        <v>0</v>
      </c>
      <c r="BX47" s="43">
        <f t="shared" si="26"/>
        <v>0</v>
      </c>
      <c r="BY47" s="43">
        <f t="shared" si="27"/>
        <v>0</v>
      </c>
      <c r="BZ47" s="43">
        <f t="shared" si="28"/>
        <v>0</v>
      </c>
      <c r="CA47" s="40">
        <v>40349</v>
      </c>
      <c r="CB47" s="43">
        <f t="shared" si="80"/>
        <v>0</v>
      </c>
      <c r="CC47" s="43">
        <f t="shared" si="80"/>
        <v>0</v>
      </c>
      <c r="CD47" s="43">
        <f t="shared" si="80"/>
        <v>0</v>
      </c>
      <c r="CE47" s="43">
        <f t="shared" si="80"/>
        <v>0</v>
      </c>
      <c r="CF47" s="43">
        <f t="shared" si="80"/>
        <v>0</v>
      </c>
      <c r="CG47" s="43">
        <f t="shared" si="80"/>
        <v>0</v>
      </c>
      <c r="CH47" s="43">
        <f t="shared" si="80"/>
        <v>0</v>
      </c>
      <c r="CI47" s="43">
        <f t="shared" si="80"/>
        <v>0</v>
      </c>
      <c r="CJ47" s="43">
        <f t="shared" si="80"/>
        <v>0</v>
      </c>
      <c r="CK47" s="43">
        <f t="shared" si="80"/>
        <v>0</v>
      </c>
      <c r="CL47" s="43">
        <f t="shared" si="80"/>
        <v>0</v>
      </c>
      <c r="CM47" s="43">
        <f t="shared" si="80"/>
        <v>0</v>
      </c>
      <c r="CN47" s="43">
        <f t="shared" si="80"/>
        <v>0</v>
      </c>
      <c r="CO47" s="43">
        <f t="shared" si="80"/>
        <v>0</v>
      </c>
      <c r="CP47" s="43">
        <f t="shared" si="80"/>
        <v>0</v>
      </c>
      <c r="CQ47" s="43">
        <f t="shared" si="61"/>
        <v>0</v>
      </c>
      <c r="CR47" s="64">
        <f t="shared" si="45"/>
        <v>0</v>
      </c>
      <c r="CT47" s="40">
        <v>40349</v>
      </c>
      <c r="CU47" s="71">
        <f>+CU$3-SUM(AS$4:AS47)</f>
        <v>0</v>
      </c>
      <c r="CV47" s="71">
        <f>+CV$3-SUM(AT$4:AT47)</f>
        <v>1.0000050067901611E-2</v>
      </c>
      <c r="CW47" s="71">
        <f>+CW$3-SUM(AU$4:AU47)</f>
        <v>0</v>
      </c>
      <c r="CX47" s="71">
        <f>+CX$3-SUM(AV$4:AV47)</f>
        <v>115235659.69999981</v>
      </c>
      <c r="CY47" s="71">
        <f>+CY$3-SUM(AW$4:AW47)</f>
        <v>1698999999.9999998</v>
      </c>
      <c r="CZ47" s="71">
        <f>+CZ$3-SUM(AX$4:AX47)</f>
        <v>1038500000</v>
      </c>
      <c r="DA47" s="71">
        <f>+DA$3-SUM(AY$4:AY47)</f>
        <v>500000000</v>
      </c>
      <c r="DB47" s="71">
        <f>+DB$3-SUM(AZ$4:AZ47)</f>
        <v>0</v>
      </c>
      <c r="DC47" s="71">
        <f>+DC$3-SUM(BA$4:BA47)</f>
        <v>167000000</v>
      </c>
      <c r="DD47" s="71">
        <f>+DD$3-SUM(BB$4:BB47)</f>
        <v>23000000</v>
      </c>
      <c r="DE47" s="71">
        <f>+DE$3-SUM(BC$4:BC47)</f>
        <v>0</v>
      </c>
      <c r="DF47" s="71">
        <f>+DF$3-SUM(BD$4:BD47)</f>
        <v>91000000</v>
      </c>
      <c r="DG47" s="71">
        <f>+DG$3-SUM(BE$4:BE47)</f>
        <v>56000000</v>
      </c>
      <c r="DH47" s="71">
        <f>+DH$3-SUM(BF$4:BF47)</f>
        <v>70000000</v>
      </c>
      <c r="DI47" s="71">
        <f>+DI$3-SUM(BG$4:BG47)</f>
        <v>211000000.00000003</v>
      </c>
      <c r="DJ47" s="71">
        <f>+DJ$3-SUM(BH$4:BH47)</f>
        <v>20000000</v>
      </c>
    </row>
    <row r="48" spans="1:114">
      <c r="A48" s="75">
        <v>40379</v>
      </c>
      <c r="B48" s="76">
        <f t="shared" si="79"/>
        <v>0</v>
      </c>
      <c r="C48" s="76">
        <f t="shared" si="78"/>
        <v>0</v>
      </c>
      <c r="D48" s="76">
        <f t="shared" si="78"/>
        <v>0</v>
      </c>
      <c r="E48" s="76">
        <f t="shared" si="78"/>
        <v>115235659.70234725</v>
      </c>
      <c r="F48" s="76">
        <f t="shared" si="78"/>
        <v>1698999999.9999998</v>
      </c>
      <c r="G48" s="76">
        <f t="shared" si="78"/>
        <v>1038500000</v>
      </c>
      <c r="H48" s="76">
        <f t="shared" si="78"/>
        <v>500000000</v>
      </c>
      <c r="I48" s="76">
        <f t="shared" si="78"/>
        <v>0</v>
      </c>
      <c r="J48" s="76">
        <f t="shared" si="78"/>
        <v>167000000</v>
      </c>
      <c r="K48" s="76">
        <f t="shared" si="78"/>
        <v>23000000</v>
      </c>
      <c r="L48" s="76">
        <f t="shared" si="78"/>
        <v>0</v>
      </c>
      <c r="M48" s="76">
        <f t="shared" si="78"/>
        <v>91000000</v>
      </c>
      <c r="N48" s="76">
        <f t="shared" si="78"/>
        <v>56000000</v>
      </c>
      <c r="O48" s="76">
        <f t="shared" si="78"/>
        <v>70000000</v>
      </c>
      <c r="P48" s="76">
        <f t="shared" si="78"/>
        <v>211000000.00000003</v>
      </c>
      <c r="Q48" s="76">
        <f t="shared" si="78"/>
        <v>20000000</v>
      </c>
      <c r="S48" s="40">
        <v>40379</v>
      </c>
      <c r="T48" s="82">
        <f t="shared" si="47"/>
        <v>0</v>
      </c>
      <c r="U48" s="82">
        <f t="shared" si="62"/>
        <v>0</v>
      </c>
      <c r="V48" s="82">
        <f t="shared" si="63"/>
        <v>0</v>
      </c>
      <c r="W48" s="82">
        <f t="shared" si="64"/>
        <v>0</v>
      </c>
      <c r="X48" s="82">
        <f t="shared" si="65"/>
        <v>0</v>
      </c>
      <c r="Y48" s="82">
        <f t="shared" si="66"/>
        <v>0</v>
      </c>
      <c r="Z48" s="82">
        <f t="shared" si="67"/>
        <v>0</v>
      </c>
      <c r="AA48" s="82">
        <f t="shared" si="68"/>
        <v>0</v>
      </c>
      <c r="AB48" s="82">
        <f t="shared" si="69"/>
        <v>0</v>
      </c>
      <c r="AC48" s="82">
        <f t="shared" si="70"/>
        <v>0</v>
      </c>
      <c r="AD48" s="82">
        <f t="shared" si="71"/>
        <v>0</v>
      </c>
      <c r="AE48" s="82">
        <f t="shared" si="72"/>
        <v>0</v>
      </c>
      <c r="AF48" s="82">
        <f t="shared" si="73"/>
        <v>0</v>
      </c>
      <c r="AG48" s="82">
        <f t="shared" si="74"/>
        <v>0</v>
      </c>
      <c r="AH48" s="82">
        <f t="shared" si="75"/>
        <v>0</v>
      </c>
      <c r="AI48" s="82">
        <f t="shared" si="76"/>
        <v>0</v>
      </c>
      <c r="AJ48" s="40">
        <v>40379</v>
      </c>
      <c r="AK48" s="187">
        <f t="shared" si="8"/>
        <v>3352735659.7023468</v>
      </c>
      <c r="AL48" s="43">
        <f t="shared" si="9"/>
        <v>3352735659.7023468</v>
      </c>
      <c r="AM48" s="43">
        <f t="shared" si="10"/>
        <v>3519735659.7023468</v>
      </c>
      <c r="AN48" s="43">
        <f t="shared" si="11"/>
        <v>3542735659.7023468</v>
      </c>
      <c r="AO48" s="43">
        <f t="shared" si="12"/>
        <v>13767942638.809387</v>
      </c>
      <c r="AR48" s="40">
        <v>40379</v>
      </c>
      <c r="AS48" s="63">
        <v>0</v>
      </c>
      <c r="AT48" s="63">
        <v>0</v>
      </c>
      <c r="AU48" s="63">
        <v>0</v>
      </c>
      <c r="AV48" s="63">
        <v>0</v>
      </c>
      <c r="AW48" s="63">
        <v>0</v>
      </c>
      <c r="AX48" s="63">
        <v>0</v>
      </c>
      <c r="AY48" s="63">
        <v>0</v>
      </c>
      <c r="AZ48" s="63">
        <v>0</v>
      </c>
      <c r="BA48" s="63">
        <v>0</v>
      </c>
      <c r="BB48" s="63">
        <v>0</v>
      </c>
      <c r="BC48" s="63">
        <v>0</v>
      </c>
      <c r="BD48" s="63">
        <v>0</v>
      </c>
      <c r="BE48" s="63">
        <v>0</v>
      </c>
      <c r="BF48" s="63">
        <v>0</v>
      </c>
      <c r="BG48" s="63">
        <v>0</v>
      </c>
      <c r="BH48" s="63">
        <v>0</v>
      </c>
      <c r="BJ48" s="40">
        <v>40379</v>
      </c>
      <c r="BK48" s="43">
        <f t="shared" si="13"/>
        <v>0</v>
      </c>
      <c r="BL48" s="43">
        <f t="shared" si="14"/>
        <v>0</v>
      </c>
      <c r="BM48" s="43">
        <f t="shared" si="15"/>
        <v>0</v>
      </c>
      <c r="BN48" s="43">
        <f t="shared" si="16"/>
        <v>0</v>
      </c>
      <c r="BO48" s="43">
        <f t="shared" si="17"/>
        <v>0</v>
      </c>
      <c r="BP48" s="43">
        <f t="shared" si="18"/>
        <v>0</v>
      </c>
      <c r="BQ48" s="43">
        <f t="shared" si="19"/>
        <v>0</v>
      </c>
      <c r="BR48" s="43">
        <f t="shared" si="20"/>
        <v>0</v>
      </c>
      <c r="BS48" s="43">
        <f t="shared" si="21"/>
        <v>0</v>
      </c>
      <c r="BT48" s="43">
        <f t="shared" si="22"/>
        <v>0</v>
      </c>
      <c r="BU48" s="43">
        <f t="shared" si="23"/>
        <v>0</v>
      </c>
      <c r="BV48" s="43">
        <f t="shared" si="24"/>
        <v>0</v>
      </c>
      <c r="BW48" s="43">
        <f t="shared" si="25"/>
        <v>0</v>
      </c>
      <c r="BX48" s="43">
        <f t="shared" si="26"/>
        <v>0</v>
      </c>
      <c r="BY48" s="43">
        <f t="shared" si="27"/>
        <v>0</v>
      </c>
      <c r="BZ48" s="43">
        <f t="shared" si="28"/>
        <v>0</v>
      </c>
      <c r="CA48" s="40">
        <v>40379</v>
      </c>
      <c r="CB48" s="43">
        <f t="shared" si="80"/>
        <v>0</v>
      </c>
      <c r="CC48" s="43">
        <f t="shared" si="80"/>
        <v>0</v>
      </c>
      <c r="CD48" s="43">
        <f t="shared" si="80"/>
        <v>0</v>
      </c>
      <c r="CE48" s="43">
        <f t="shared" si="80"/>
        <v>0</v>
      </c>
      <c r="CF48" s="43">
        <f t="shared" si="80"/>
        <v>0</v>
      </c>
      <c r="CG48" s="43">
        <f t="shared" si="80"/>
        <v>0</v>
      </c>
      <c r="CH48" s="43">
        <f t="shared" si="80"/>
        <v>0</v>
      </c>
      <c r="CI48" s="43">
        <f t="shared" si="80"/>
        <v>0</v>
      </c>
      <c r="CJ48" s="43">
        <f t="shared" si="80"/>
        <v>0</v>
      </c>
      <c r="CK48" s="43">
        <f t="shared" si="80"/>
        <v>0</v>
      </c>
      <c r="CL48" s="43">
        <f t="shared" si="80"/>
        <v>0</v>
      </c>
      <c r="CM48" s="43">
        <f t="shared" si="80"/>
        <v>0</v>
      </c>
      <c r="CN48" s="43">
        <f t="shared" si="80"/>
        <v>0</v>
      </c>
      <c r="CO48" s="43">
        <f t="shared" si="80"/>
        <v>0</v>
      </c>
      <c r="CP48" s="43">
        <f t="shared" si="80"/>
        <v>0</v>
      </c>
      <c r="CQ48" s="43">
        <f t="shared" si="61"/>
        <v>0</v>
      </c>
      <c r="CR48" s="64">
        <f t="shared" si="45"/>
        <v>0</v>
      </c>
      <c r="CT48" s="40">
        <v>40379</v>
      </c>
      <c r="CU48" s="71">
        <f>+CU$3-SUM(AS$4:AS48)</f>
        <v>0</v>
      </c>
      <c r="CV48" s="71">
        <f>+CV$3-SUM(AT$4:AT48)</f>
        <v>1.0000050067901611E-2</v>
      </c>
      <c r="CW48" s="71">
        <f>+CW$3-SUM(AU$4:AU48)</f>
        <v>0</v>
      </c>
      <c r="CX48" s="71">
        <f>+CX$3-SUM(AV$4:AV48)</f>
        <v>115235659.69999981</v>
      </c>
      <c r="CY48" s="71">
        <f>+CY$3-SUM(AW$4:AW48)</f>
        <v>1698999999.9999998</v>
      </c>
      <c r="CZ48" s="71">
        <f>+CZ$3-SUM(AX$4:AX48)</f>
        <v>1038500000</v>
      </c>
      <c r="DA48" s="71">
        <f>+DA$3-SUM(AY$4:AY48)</f>
        <v>500000000</v>
      </c>
      <c r="DB48" s="71">
        <f>+DB$3-SUM(AZ$4:AZ48)</f>
        <v>0</v>
      </c>
      <c r="DC48" s="71">
        <f>+DC$3-SUM(BA$4:BA48)</f>
        <v>167000000</v>
      </c>
      <c r="DD48" s="71">
        <f>+DD$3-SUM(BB$4:BB48)</f>
        <v>23000000</v>
      </c>
      <c r="DE48" s="71">
        <f>+DE$3-SUM(BC$4:BC48)</f>
        <v>0</v>
      </c>
      <c r="DF48" s="71">
        <f>+DF$3-SUM(BD$4:BD48)</f>
        <v>91000000</v>
      </c>
      <c r="DG48" s="71">
        <f>+DG$3-SUM(BE$4:BE48)</f>
        <v>56000000</v>
      </c>
      <c r="DH48" s="71">
        <f>+DH$3-SUM(BF$4:BF48)</f>
        <v>70000000</v>
      </c>
      <c r="DI48" s="71">
        <f>+DI$3-SUM(BG$4:BG48)</f>
        <v>211000000.00000003</v>
      </c>
      <c r="DJ48" s="71">
        <f>+DJ$3-SUM(BH$4:BH48)</f>
        <v>20000000</v>
      </c>
    </row>
    <row r="49" spans="1:114">
      <c r="A49" s="75">
        <v>40410</v>
      </c>
      <c r="B49" s="76">
        <f t="shared" si="79"/>
        <v>0</v>
      </c>
      <c r="C49" s="76">
        <f t="shared" ref="C49:Q64" si="81">+C136</f>
        <v>0</v>
      </c>
      <c r="D49" s="76">
        <f t="shared" si="81"/>
        <v>0</v>
      </c>
      <c r="E49" s="76">
        <f t="shared" si="81"/>
        <v>0</v>
      </c>
      <c r="F49" s="76">
        <f t="shared" si="81"/>
        <v>1571285028.6544149</v>
      </c>
      <c r="G49" s="76">
        <f t="shared" si="81"/>
        <v>1038500000</v>
      </c>
      <c r="H49" s="76">
        <f t="shared" si="81"/>
        <v>500000000</v>
      </c>
      <c r="I49" s="76">
        <f t="shared" si="81"/>
        <v>0</v>
      </c>
      <c r="J49" s="76">
        <f t="shared" si="81"/>
        <v>167000000</v>
      </c>
      <c r="K49" s="76">
        <f t="shared" si="81"/>
        <v>23000000</v>
      </c>
      <c r="L49" s="76">
        <f t="shared" si="81"/>
        <v>0</v>
      </c>
      <c r="M49" s="76">
        <f t="shared" si="81"/>
        <v>91000000</v>
      </c>
      <c r="N49" s="76">
        <f t="shared" si="81"/>
        <v>56000000</v>
      </c>
      <c r="O49" s="76">
        <f t="shared" si="81"/>
        <v>70000000</v>
      </c>
      <c r="P49" s="76">
        <f t="shared" si="81"/>
        <v>211000000.00000003</v>
      </c>
      <c r="Q49" s="76">
        <f t="shared" si="81"/>
        <v>20000000</v>
      </c>
      <c r="S49" s="588">
        <v>40410</v>
      </c>
      <c r="T49" s="589">
        <f t="shared" si="47"/>
        <v>0</v>
      </c>
      <c r="U49" s="589">
        <f t="shared" si="62"/>
        <v>0</v>
      </c>
      <c r="V49" s="589">
        <f t="shared" si="63"/>
        <v>0</v>
      </c>
      <c r="W49" s="589">
        <f t="shared" si="64"/>
        <v>115235659.7</v>
      </c>
      <c r="X49" s="589">
        <f t="shared" si="65"/>
        <v>127714971.34999999</v>
      </c>
      <c r="Y49" s="589">
        <f t="shared" si="66"/>
        <v>0</v>
      </c>
      <c r="Z49" s="589">
        <f t="shared" si="67"/>
        <v>0</v>
      </c>
      <c r="AA49" s="589">
        <f t="shared" si="68"/>
        <v>0</v>
      </c>
      <c r="AB49" s="589">
        <f t="shared" si="69"/>
        <v>0</v>
      </c>
      <c r="AC49" s="589">
        <f t="shared" si="70"/>
        <v>0</v>
      </c>
      <c r="AD49" s="589">
        <f t="shared" si="71"/>
        <v>0</v>
      </c>
      <c r="AE49" s="589">
        <f t="shared" si="72"/>
        <v>0</v>
      </c>
      <c r="AF49" s="589">
        <f t="shared" si="73"/>
        <v>0</v>
      </c>
      <c r="AG49" s="589">
        <f t="shared" si="74"/>
        <v>0</v>
      </c>
      <c r="AH49" s="589">
        <f t="shared" si="75"/>
        <v>0</v>
      </c>
      <c r="AI49" s="589">
        <f t="shared" si="76"/>
        <v>0</v>
      </c>
      <c r="AJ49" s="40">
        <v>40410</v>
      </c>
      <c r="AK49" s="187">
        <f t="shared" si="8"/>
        <v>3109785028.6544151</v>
      </c>
      <c r="AL49" s="43">
        <f t="shared" si="9"/>
        <v>3109785028.6544151</v>
      </c>
      <c r="AM49" s="43">
        <f t="shared" si="10"/>
        <v>3276785028.6544151</v>
      </c>
      <c r="AN49" s="43">
        <f t="shared" si="11"/>
        <v>3299785028.6544151</v>
      </c>
      <c r="AO49" s="43">
        <f t="shared" si="12"/>
        <v>12796140114.617661</v>
      </c>
      <c r="AR49" s="40">
        <v>40410</v>
      </c>
      <c r="AS49" s="63">
        <v>0</v>
      </c>
      <c r="AT49" s="63">
        <v>0</v>
      </c>
      <c r="AU49" s="63">
        <v>0</v>
      </c>
      <c r="AV49" s="85">
        <v>115235659.7</v>
      </c>
      <c r="AW49" s="85">
        <v>127714971.34999999</v>
      </c>
      <c r="AX49" s="63">
        <v>0</v>
      </c>
      <c r="AY49" s="63">
        <v>0</v>
      </c>
      <c r="AZ49" s="63">
        <v>0</v>
      </c>
      <c r="BA49" s="63">
        <v>0</v>
      </c>
      <c r="BB49" s="63">
        <v>0</v>
      </c>
      <c r="BC49" s="63">
        <v>0</v>
      </c>
      <c r="BD49" s="63">
        <v>0</v>
      </c>
      <c r="BE49" s="63">
        <v>0</v>
      </c>
      <c r="BF49" s="63">
        <v>0</v>
      </c>
      <c r="BG49" s="63">
        <v>0</v>
      </c>
      <c r="BH49" s="63">
        <v>0</v>
      </c>
      <c r="BJ49" s="40">
        <v>40410</v>
      </c>
      <c r="BK49" s="43">
        <f t="shared" si="13"/>
        <v>0</v>
      </c>
      <c r="BL49" s="43">
        <f t="shared" si="14"/>
        <v>0</v>
      </c>
      <c r="BM49" s="43">
        <f t="shared" si="15"/>
        <v>0</v>
      </c>
      <c r="BN49" s="43">
        <f t="shared" si="16"/>
        <v>0</v>
      </c>
      <c r="BO49" s="43">
        <f t="shared" si="17"/>
        <v>0</v>
      </c>
      <c r="BP49" s="43">
        <f t="shared" si="18"/>
        <v>0</v>
      </c>
      <c r="BQ49" s="43">
        <f t="shared" si="19"/>
        <v>0</v>
      </c>
      <c r="BR49" s="43">
        <f t="shared" si="20"/>
        <v>0</v>
      </c>
      <c r="BS49" s="43">
        <f t="shared" si="21"/>
        <v>0</v>
      </c>
      <c r="BT49" s="43">
        <f t="shared" si="22"/>
        <v>0</v>
      </c>
      <c r="BU49" s="43">
        <f t="shared" si="23"/>
        <v>0</v>
      </c>
      <c r="BV49" s="43">
        <f t="shared" si="24"/>
        <v>0</v>
      </c>
      <c r="BW49" s="43">
        <f t="shared" si="25"/>
        <v>0</v>
      </c>
      <c r="BX49" s="43">
        <f t="shared" si="26"/>
        <v>0</v>
      </c>
      <c r="BY49" s="43">
        <f t="shared" si="27"/>
        <v>0</v>
      </c>
      <c r="BZ49" s="43">
        <f t="shared" si="28"/>
        <v>0</v>
      </c>
      <c r="CA49" s="40">
        <v>40410</v>
      </c>
      <c r="CB49" s="43">
        <f t="shared" si="80"/>
        <v>0</v>
      </c>
      <c r="CC49" s="43">
        <f t="shared" si="80"/>
        <v>0</v>
      </c>
      <c r="CD49" s="43">
        <f t="shared" si="80"/>
        <v>0</v>
      </c>
      <c r="CE49" s="43">
        <f t="shared" si="80"/>
        <v>0</v>
      </c>
      <c r="CF49" s="43">
        <f t="shared" si="80"/>
        <v>0</v>
      </c>
      <c r="CG49" s="43">
        <f t="shared" si="80"/>
        <v>0</v>
      </c>
      <c r="CH49" s="43">
        <f t="shared" si="80"/>
        <v>0</v>
      </c>
      <c r="CI49" s="43">
        <f t="shared" si="80"/>
        <v>0</v>
      </c>
      <c r="CJ49" s="43">
        <f t="shared" si="80"/>
        <v>0</v>
      </c>
      <c r="CK49" s="43">
        <f t="shared" si="80"/>
        <v>0</v>
      </c>
      <c r="CL49" s="43">
        <f t="shared" si="80"/>
        <v>0</v>
      </c>
      <c r="CM49" s="43">
        <f t="shared" si="80"/>
        <v>0</v>
      </c>
      <c r="CN49" s="43">
        <f t="shared" si="80"/>
        <v>0</v>
      </c>
      <c r="CO49" s="43">
        <f t="shared" si="80"/>
        <v>0</v>
      </c>
      <c r="CP49" s="43">
        <f t="shared" si="80"/>
        <v>0</v>
      </c>
      <c r="CQ49" s="43">
        <f t="shared" si="61"/>
        <v>0</v>
      </c>
      <c r="CR49" s="64">
        <f t="shared" si="45"/>
        <v>0</v>
      </c>
      <c r="CT49" s="40">
        <v>40410</v>
      </c>
      <c r="CU49" s="71">
        <f>+CU$3-SUM(AS$4:AS49)</f>
        <v>0</v>
      </c>
      <c r="CV49" s="71">
        <f>+CV$3-SUM(AT$4:AT49)</f>
        <v>1.0000050067901611E-2</v>
      </c>
      <c r="CW49" s="71">
        <f>+CW$3-SUM(AU$4:AU49)</f>
        <v>0</v>
      </c>
      <c r="CX49" s="71">
        <f>+CX$3-SUM(AV$4:AV49)</f>
        <v>0</v>
      </c>
      <c r="CY49" s="71">
        <f>+CY$3-SUM(AW$4:AW49)</f>
        <v>1571285028.6499999</v>
      </c>
      <c r="CZ49" s="71">
        <f>+CZ$3-SUM(AX$4:AX49)</f>
        <v>1038500000</v>
      </c>
      <c r="DA49" s="71">
        <f>+DA$3-SUM(AY$4:AY49)</f>
        <v>500000000</v>
      </c>
      <c r="DB49" s="71">
        <f>+DB$3-SUM(AZ$4:AZ49)</f>
        <v>0</v>
      </c>
      <c r="DC49" s="71">
        <f>+DC$3-SUM(BA$4:BA49)</f>
        <v>167000000</v>
      </c>
      <c r="DD49" s="71">
        <f>+DD$3-SUM(BB$4:BB49)</f>
        <v>23000000</v>
      </c>
      <c r="DE49" s="71">
        <f>+DE$3-SUM(BC$4:BC49)</f>
        <v>0</v>
      </c>
      <c r="DF49" s="71">
        <f>+DF$3-SUM(BD$4:BD49)</f>
        <v>91000000</v>
      </c>
      <c r="DG49" s="71">
        <f>+DG$3-SUM(BE$4:BE49)</f>
        <v>56000000</v>
      </c>
      <c r="DH49" s="71">
        <f>+DH$3-SUM(BF$4:BF49)</f>
        <v>70000000</v>
      </c>
      <c r="DI49" s="71">
        <f>+DI$3-SUM(BG$4:BG49)</f>
        <v>211000000.00000003</v>
      </c>
      <c r="DJ49" s="71">
        <f>+DJ$3-SUM(BH$4:BH49)</f>
        <v>20000000</v>
      </c>
    </row>
    <row r="50" spans="1:114">
      <c r="A50" s="75">
        <v>40441</v>
      </c>
      <c r="B50" s="76">
        <f t="shared" si="79"/>
        <v>0</v>
      </c>
      <c r="C50" s="76">
        <f t="shared" si="81"/>
        <v>0</v>
      </c>
      <c r="D50" s="76">
        <f t="shared" si="81"/>
        <v>0</v>
      </c>
      <c r="E50" s="76">
        <f t="shared" si="81"/>
        <v>0</v>
      </c>
      <c r="F50" s="76">
        <f t="shared" si="81"/>
        <v>1571285028.6544149</v>
      </c>
      <c r="G50" s="76">
        <f t="shared" si="81"/>
        <v>1038500000</v>
      </c>
      <c r="H50" s="76">
        <f t="shared" si="81"/>
        <v>500000000</v>
      </c>
      <c r="I50" s="76">
        <f t="shared" si="81"/>
        <v>0</v>
      </c>
      <c r="J50" s="76">
        <f t="shared" si="81"/>
        <v>167000000</v>
      </c>
      <c r="K50" s="76">
        <f t="shared" si="81"/>
        <v>23000000</v>
      </c>
      <c r="L50" s="76">
        <f t="shared" si="81"/>
        <v>0</v>
      </c>
      <c r="M50" s="76">
        <f t="shared" si="81"/>
        <v>91000000</v>
      </c>
      <c r="N50" s="76">
        <f t="shared" si="81"/>
        <v>56000000</v>
      </c>
      <c r="O50" s="76">
        <f t="shared" si="81"/>
        <v>70000000</v>
      </c>
      <c r="P50" s="76">
        <f t="shared" si="81"/>
        <v>211000000.00000003</v>
      </c>
      <c r="Q50" s="76">
        <f t="shared" si="81"/>
        <v>20000000</v>
      </c>
      <c r="S50" s="40">
        <v>40441</v>
      </c>
      <c r="T50" s="82">
        <f t="shared" si="47"/>
        <v>0</v>
      </c>
      <c r="U50" s="82">
        <f t="shared" si="62"/>
        <v>0</v>
      </c>
      <c r="V50" s="82">
        <f t="shared" si="63"/>
        <v>0</v>
      </c>
      <c r="W50" s="82">
        <f t="shared" si="64"/>
        <v>0</v>
      </c>
      <c r="X50" s="82">
        <f t="shared" si="65"/>
        <v>0</v>
      </c>
      <c r="Y50" s="82">
        <f t="shared" si="66"/>
        <v>0</v>
      </c>
      <c r="Z50" s="82">
        <f t="shared" si="67"/>
        <v>0</v>
      </c>
      <c r="AA50" s="82">
        <f t="shared" si="68"/>
        <v>0</v>
      </c>
      <c r="AB50" s="82">
        <f t="shared" si="69"/>
        <v>0</v>
      </c>
      <c r="AC50" s="82">
        <f t="shared" si="70"/>
        <v>0</v>
      </c>
      <c r="AD50" s="82">
        <f t="shared" si="71"/>
        <v>0</v>
      </c>
      <c r="AE50" s="82">
        <f t="shared" si="72"/>
        <v>0</v>
      </c>
      <c r="AF50" s="82">
        <f t="shared" si="73"/>
        <v>0</v>
      </c>
      <c r="AG50" s="82">
        <f t="shared" si="74"/>
        <v>0</v>
      </c>
      <c r="AH50" s="82">
        <f t="shared" si="75"/>
        <v>0</v>
      </c>
      <c r="AI50" s="82">
        <f t="shared" si="76"/>
        <v>0</v>
      </c>
      <c r="AJ50" s="40">
        <v>40441</v>
      </c>
      <c r="AK50" s="187">
        <f t="shared" si="8"/>
        <v>3109785028.6544151</v>
      </c>
      <c r="AL50" s="43">
        <f t="shared" si="9"/>
        <v>3109785028.6544151</v>
      </c>
      <c r="AM50" s="43">
        <f t="shared" si="10"/>
        <v>3276785028.6544151</v>
      </c>
      <c r="AN50" s="43">
        <f t="shared" si="11"/>
        <v>3299785028.6544151</v>
      </c>
      <c r="AO50" s="43">
        <f t="shared" si="12"/>
        <v>12796140114.617661</v>
      </c>
      <c r="AR50" s="40">
        <v>40441</v>
      </c>
      <c r="AS50" s="63">
        <v>0</v>
      </c>
      <c r="AT50" s="63">
        <v>0</v>
      </c>
      <c r="AU50" s="63">
        <v>0</v>
      </c>
      <c r="AV50" s="63">
        <v>0</v>
      </c>
      <c r="AW50" s="63">
        <v>0</v>
      </c>
      <c r="AX50" s="63">
        <v>0</v>
      </c>
      <c r="AY50" s="63">
        <v>0</v>
      </c>
      <c r="AZ50" s="63">
        <v>0</v>
      </c>
      <c r="BA50" s="63">
        <v>0</v>
      </c>
      <c r="BB50" s="63">
        <v>0</v>
      </c>
      <c r="BC50" s="63">
        <v>0</v>
      </c>
      <c r="BD50" s="63">
        <v>0</v>
      </c>
      <c r="BE50" s="63">
        <v>0</v>
      </c>
      <c r="BF50" s="63">
        <v>0</v>
      </c>
      <c r="BG50" s="63">
        <v>0</v>
      </c>
      <c r="BH50" s="63">
        <v>0</v>
      </c>
      <c r="BJ50" s="40">
        <v>40441</v>
      </c>
      <c r="BK50" s="43">
        <f t="shared" si="13"/>
        <v>0</v>
      </c>
      <c r="BL50" s="43">
        <f t="shared" si="14"/>
        <v>0</v>
      </c>
      <c r="BM50" s="43">
        <f t="shared" si="15"/>
        <v>0</v>
      </c>
      <c r="BN50" s="43">
        <f t="shared" si="16"/>
        <v>0</v>
      </c>
      <c r="BO50" s="43">
        <f t="shared" si="17"/>
        <v>0</v>
      </c>
      <c r="BP50" s="43">
        <f t="shared" si="18"/>
        <v>0</v>
      </c>
      <c r="BQ50" s="43">
        <f t="shared" si="19"/>
        <v>0</v>
      </c>
      <c r="BR50" s="43">
        <f t="shared" si="20"/>
        <v>0</v>
      </c>
      <c r="BS50" s="43">
        <f t="shared" si="21"/>
        <v>0</v>
      </c>
      <c r="BT50" s="43">
        <f t="shared" si="22"/>
        <v>0</v>
      </c>
      <c r="BU50" s="43">
        <f t="shared" si="23"/>
        <v>0</v>
      </c>
      <c r="BV50" s="43">
        <f t="shared" si="24"/>
        <v>0</v>
      </c>
      <c r="BW50" s="43">
        <f t="shared" si="25"/>
        <v>0</v>
      </c>
      <c r="BX50" s="43">
        <f t="shared" si="26"/>
        <v>0</v>
      </c>
      <c r="BY50" s="43">
        <f t="shared" si="27"/>
        <v>0</v>
      </c>
      <c r="BZ50" s="43">
        <f t="shared" si="28"/>
        <v>0</v>
      </c>
      <c r="CA50" s="40">
        <v>40441</v>
      </c>
      <c r="CB50" s="43">
        <f t="shared" si="80"/>
        <v>0</v>
      </c>
      <c r="CC50" s="43">
        <f t="shared" si="80"/>
        <v>0</v>
      </c>
      <c r="CD50" s="43">
        <f t="shared" si="80"/>
        <v>0</v>
      </c>
      <c r="CE50" s="43">
        <f t="shared" si="80"/>
        <v>0</v>
      </c>
      <c r="CF50" s="43">
        <f t="shared" si="80"/>
        <v>0</v>
      </c>
      <c r="CG50" s="43">
        <f t="shared" si="80"/>
        <v>0</v>
      </c>
      <c r="CH50" s="43">
        <f t="shared" si="80"/>
        <v>0</v>
      </c>
      <c r="CI50" s="43">
        <f t="shared" si="80"/>
        <v>0</v>
      </c>
      <c r="CJ50" s="43">
        <f t="shared" si="80"/>
        <v>0</v>
      </c>
      <c r="CK50" s="43">
        <f t="shared" si="80"/>
        <v>0</v>
      </c>
      <c r="CL50" s="43">
        <f t="shared" si="80"/>
        <v>0</v>
      </c>
      <c r="CM50" s="43">
        <f t="shared" si="80"/>
        <v>0</v>
      </c>
      <c r="CN50" s="43">
        <f t="shared" si="80"/>
        <v>0</v>
      </c>
      <c r="CO50" s="43">
        <f t="shared" si="80"/>
        <v>0</v>
      </c>
      <c r="CP50" s="43">
        <f t="shared" si="80"/>
        <v>0</v>
      </c>
      <c r="CQ50" s="43">
        <f t="shared" si="61"/>
        <v>0</v>
      </c>
      <c r="CR50" s="64">
        <f t="shared" si="45"/>
        <v>0</v>
      </c>
      <c r="CT50" s="40">
        <v>40441</v>
      </c>
      <c r="CU50" s="71">
        <f>+CU$3-SUM(AS$4:AS50)</f>
        <v>0</v>
      </c>
      <c r="CV50" s="71">
        <f>+CV$3-SUM(AT$4:AT50)</f>
        <v>1.0000050067901611E-2</v>
      </c>
      <c r="CW50" s="71">
        <f>+CW$3-SUM(AU$4:AU50)</f>
        <v>0</v>
      </c>
      <c r="CX50" s="71">
        <f>+CX$3-SUM(AV$4:AV50)</f>
        <v>0</v>
      </c>
      <c r="CY50" s="71">
        <f>+CY$3-SUM(AW$4:AW50)</f>
        <v>1571285028.6499999</v>
      </c>
      <c r="CZ50" s="71">
        <f>+CZ$3-SUM(AX$4:AX50)</f>
        <v>1038500000</v>
      </c>
      <c r="DA50" s="71">
        <f>+DA$3-SUM(AY$4:AY50)</f>
        <v>500000000</v>
      </c>
      <c r="DB50" s="71">
        <f>+DB$3-SUM(AZ$4:AZ50)</f>
        <v>0</v>
      </c>
      <c r="DC50" s="71">
        <f>+DC$3-SUM(BA$4:BA50)</f>
        <v>167000000</v>
      </c>
      <c r="DD50" s="71">
        <f>+DD$3-SUM(BB$4:BB50)</f>
        <v>23000000</v>
      </c>
      <c r="DE50" s="71">
        <f>+DE$3-SUM(BC$4:BC50)</f>
        <v>0</v>
      </c>
      <c r="DF50" s="71">
        <f>+DF$3-SUM(BD$4:BD50)</f>
        <v>91000000</v>
      </c>
      <c r="DG50" s="71">
        <f>+DG$3-SUM(BE$4:BE50)</f>
        <v>56000000</v>
      </c>
      <c r="DH50" s="71">
        <f>+DH$3-SUM(BF$4:BF50)</f>
        <v>70000000</v>
      </c>
      <c r="DI50" s="71">
        <f>+DI$3-SUM(BG$4:BG50)</f>
        <v>211000000.00000003</v>
      </c>
      <c r="DJ50" s="71">
        <f>+DJ$3-SUM(BH$4:BH50)</f>
        <v>20000000</v>
      </c>
    </row>
    <row r="51" spans="1:114">
      <c r="A51" s="75">
        <v>40471</v>
      </c>
      <c r="B51" s="76">
        <f t="shared" si="79"/>
        <v>0</v>
      </c>
      <c r="C51" s="76">
        <f t="shared" si="81"/>
        <v>0</v>
      </c>
      <c r="D51" s="76">
        <f t="shared" si="81"/>
        <v>0</v>
      </c>
      <c r="E51" s="76">
        <f t="shared" si="81"/>
        <v>0</v>
      </c>
      <c r="F51" s="76">
        <f t="shared" si="81"/>
        <v>1571285028.6544149</v>
      </c>
      <c r="G51" s="76">
        <f t="shared" si="81"/>
        <v>1038500000</v>
      </c>
      <c r="H51" s="76">
        <f t="shared" si="81"/>
        <v>500000000</v>
      </c>
      <c r="I51" s="76">
        <f t="shared" si="81"/>
        <v>0</v>
      </c>
      <c r="J51" s="76">
        <f t="shared" si="81"/>
        <v>167000000</v>
      </c>
      <c r="K51" s="76">
        <f t="shared" si="81"/>
        <v>23000000</v>
      </c>
      <c r="L51" s="76">
        <f t="shared" si="81"/>
        <v>0</v>
      </c>
      <c r="M51" s="76">
        <f t="shared" si="81"/>
        <v>91000000</v>
      </c>
      <c r="N51" s="76">
        <f t="shared" si="81"/>
        <v>56000000</v>
      </c>
      <c r="O51" s="76">
        <f t="shared" si="81"/>
        <v>70000000</v>
      </c>
      <c r="P51" s="76">
        <f t="shared" si="81"/>
        <v>211000000.00000003</v>
      </c>
      <c r="Q51" s="76">
        <f t="shared" si="81"/>
        <v>20000000</v>
      </c>
      <c r="S51" s="40">
        <v>40471</v>
      </c>
      <c r="T51" s="82">
        <f t="shared" si="47"/>
        <v>0</v>
      </c>
      <c r="U51" s="82">
        <f t="shared" si="62"/>
        <v>0</v>
      </c>
      <c r="V51" s="82">
        <f t="shared" si="63"/>
        <v>0</v>
      </c>
      <c r="W51" s="82">
        <f t="shared" si="64"/>
        <v>0</v>
      </c>
      <c r="X51" s="82">
        <f t="shared" si="65"/>
        <v>0</v>
      </c>
      <c r="Y51" s="82">
        <f t="shared" si="66"/>
        <v>0</v>
      </c>
      <c r="Z51" s="82">
        <f t="shared" si="67"/>
        <v>0</v>
      </c>
      <c r="AA51" s="82">
        <f t="shared" si="68"/>
        <v>0</v>
      </c>
      <c r="AB51" s="82">
        <f t="shared" si="69"/>
        <v>0</v>
      </c>
      <c r="AC51" s="82">
        <f t="shared" si="70"/>
        <v>0</v>
      </c>
      <c r="AD51" s="82">
        <f t="shared" si="71"/>
        <v>0</v>
      </c>
      <c r="AE51" s="82">
        <f t="shared" si="72"/>
        <v>0</v>
      </c>
      <c r="AF51" s="82">
        <f t="shared" si="73"/>
        <v>0</v>
      </c>
      <c r="AG51" s="82">
        <f t="shared" si="74"/>
        <v>0</v>
      </c>
      <c r="AH51" s="82">
        <f t="shared" si="75"/>
        <v>0</v>
      </c>
      <c r="AI51" s="82">
        <f t="shared" si="76"/>
        <v>0</v>
      </c>
      <c r="AJ51" s="40">
        <v>40471</v>
      </c>
      <c r="AK51" s="187">
        <f t="shared" si="8"/>
        <v>3109785028.6544151</v>
      </c>
      <c r="AL51" s="43">
        <f t="shared" si="9"/>
        <v>3109785028.6544151</v>
      </c>
      <c r="AM51" s="43">
        <f t="shared" si="10"/>
        <v>3276785028.6544151</v>
      </c>
      <c r="AN51" s="43">
        <f t="shared" si="11"/>
        <v>3299785028.6544151</v>
      </c>
      <c r="AO51" s="43">
        <f t="shared" si="12"/>
        <v>12796140114.617661</v>
      </c>
      <c r="AR51" s="40">
        <v>40471</v>
      </c>
      <c r="AS51" s="63">
        <v>0</v>
      </c>
      <c r="AT51" s="63">
        <v>0</v>
      </c>
      <c r="AU51" s="63">
        <v>0</v>
      </c>
      <c r="AV51" s="63">
        <v>0</v>
      </c>
      <c r="AW51" s="63">
        <v>0</v>
      </c>
      <c r="AX51" s="63">
        <v>0</v>
      </c>
      <c r="AY51" s="63">
        <v>0</v>
      </c>
      <c r="AZ51" s="63">
        <v>0</v>
      </c>
      <c r="BA51" s="63">
        <v>0</v>
      </c>
      <c r="BB51" s="63">
        <v>0</v>
      </c>
      <c r="BC51" s="63">
        <v>0</v>
      </c>
      <c r="BD51" s="63">
        <v>0</v>
      </c>
      <c r="BE51" s="63">
        <v>0</v>
      </c>
      <c r="BF51" s="63">
        <v>0</v>
      </c>
      <c r="BG51" s="63">
        <v>0</v>
      </c>
      <c r="BH51" s="63">
        <v>0</v>
      </c>
      <c r="BJ51" s="40">
        <v>40471</v>
      </c>
      <c r="BK51" s="43">
        <f t="shared" si="13"/>
        <v>0</v>
      </c>
      <c r="BL51" s="43">
        <f t="shared" si="14"/>
        <v>0</v>
      </c>
      <c r="BM51" s="43">
        <f t="shared" si="15"/>
        <v>0</v>
      </c>
      <c r="BN51" s="43">
        <f t="shared" si="16"/>
        <v>0</v>
      </c>
      <c r="BO51" s="43">
        <f t="shared" si="17"/>
        <v>0</v>
      </c>
      <c r="BP51" s="43">
        <f t="shared" si="18"/>
        <v>0</v>
      </c>
      <c r="BQ51" s="43">
        <f t="shared" si="19"/>
        <v>0</v>
      </c>
      <c r="BR51" s="43">
        <f t="shared" si="20"/>
        <v>0</v>
      </c>
      <c r="BS51" s="43">
        <f t="shared" si="21"/>
        <v>0</v>
      </c>
      <c r="BT51" s="43">
        <f t="shared" si="22"/>
        <v>0</v>
      </c>
      <c r="BU51" s="43">
        <f t="shared" si="23"/>
        <v>0</v>
      </c>
      <c r="BV51" s="43">
        <f t="shared" si="24"/>
        <v>0</v>
      </c>
      <c r="BW51" s="43">
        <f t="shared" si="25"/>
        <v>0</v>
      </c>
      <c r="BX51" s="43">
        <f t="shared" si="26"/>
        <v>0</v>
      </c>
      <c r="BY51" s="43">
        <f t="shared" si="27"/>
        <v>0</v>
      </c>
      <c r="BZ51" s="43">
        <f t="shared" si="28"/>
        <v>0</v>
      </c>
      <c r="CA51" s="40">
        <v>40471</v>
      </c>
      <c r="CB51" s="43">
        <f t="shared" si="80"/>
        <v>0</v>
      </c>
      <c r="CC51" s="43">
        <f t="shared" si="80"/>
        <v>0</v>
      </c>
      <c r="CD51" s="43">
        <f t="shared" si="80"/>
        <v>0</v>
      </c>
      <c r="CE51" s="43">
        <f t="shared" si="80"/>
        <v>0</v>
      </c>
      <c r="CF51" s="43">
        <f t="shared" si="80"/>
        <v>0</v>
      </c>
      <c r="CG51" s="43">
        <f t="shared" si="80"/>
        <v>0</v>
      </c>
      <c r="CH51" s="43">
        <f t="shared" si="80"/>
        <v>0</v>
      </c>
      <c r="CI51" s="43">
        <f t="shared" si="80"/>
        <v>0</v>
      </c>
      <c r="CJ51" s="43">
        <f t="shared" si="80"/>
        <v>0</v>
      </c>
      <c r="CK51" s="43">
        <f t="shared" si="80"/>
        <v>0</v>
      </c>
      <c r="CL51" s="43">
        <f t="shared" si="80"/>
        <v>0</v>
      </c>
      <c r="CM51" s="43">
        <f t="shared" si="80"/>
        <v>0</v>
      </c>
      <c r="CN51" s="43">
        <f t="shared" si="80"/>
        <v>0</v>
      </c>
      <c r="CO51" s="43">
        <f t="shared" si="80"/>
        <v>0</v>
      </c>
      <c r="CP51" s="43">
        <f t="shared" si="80"/>
        <v>0</v>
      </c>
      <c r="CQ51" s="43">
        <f t="shared" si="61"/>
        <v>0</v>
      </c>
      <c r="CR51" s="64">
        <f t="shared" si="45"/>
        <v>0</v>
      </c>
      <c r="CT51" s="40">
        <v>40471</v>
      </c>
      <c r="CU51" s="71">
        <f>+CU$3-SUM(AS$4:AS51)</f>
        <v>0</v>
      </c>
      <c r="CV51" s="71">
        <f>+CV$3-SUM(AT$4:AT51)</f>
        <v>1.0000050067901611E-2</v>
      </c>
      <c r="CW51" s="71">
        <f>+CW$3-SUM(AU$4:AU51)</f>
        <v>0</v>
      </c>
      <c r="CX51" s="71">
        <f>+CX$3-SUM(AV$4:AV51)</f>
        <v>0</v>
      </c>
      <c r="CY51" s="71">
        <f>+CY$3-SUM(AW$4:AW51)</f>
        <v>1571285028.6499999</v>
      </c>
      <c r="CZ51" s="71">
        <f>+CZ$3-SUM(AX$4:AX51)</f>
        <v>1038500000</v>
      </c>
      <c r="DA51" s="71">
        <f>+DA$3-SUM(AY$4:AY51)</f>
        <v>500000000</v>
      </c>
      <c r="DB51" s="71">
        <f>+DB$3-SUM(AZ$4:AZ51)</f>
        <v>0</v>
      </c>
      <c r="DC51" s="71">
        <f>+DC$3-SUM(BA$4:BA51)</f>
        <v>167000000</v>
      </c>
      <c r="DD51" s="71">
        <f>+DD$3-SUM(BB$4:BB51)</f>
        <v>23000000</v>
      </c>
      <c r="DE51" s="71">
        <f>+DE$3-SUM(BC$4:BC51)</f>
        <v>0</v>
      </c>
      <c r="DF51" s="71">
        <f>+DF$3-SUM(BD$4:BD51)</f>
        <v>91000000</v>
      </c>
      <c r="DG51" s="71">
        <f>+DG$3-SUM(BE$4:BE51)</f>
        <v>56000000</v>
      </c>
      <c r="DH51" s="71">
        <f>+DH$3-SUM(BF$4:BF51)</f>
        <v>70000000</v>
      </c>
      <c r="DI51" s="71">
        <f>+DI$3-SUM(BG$4:BG51)</f>
        <v>211000000.00000003</v>
      </c>
      <c r="DJ51" s="71">
        <f>+DJ$3-SUM(BH$4:BH51)</f>
        <v>20000000</v>
      </c>
    </row>
    <row r="52" spans="1:114">
      <c r="A52" s="75">
        <v>40504</v>
      </c>
      <c r="B52" s="76">
        <f t="shared" si="79"/>
        <v>0</v>
      </c>
      <c r="C52" s="76">
        <f t="shared" si="81"/>
        <v>0</v>
      </c>
      <c r="D52" s="76">
        <f t="shared" si="81"/>
        <v>0</v>
      </c>
      <c r="E52" s="76">
        <f t="shared" si="81"/>
        <v>0</v>
      </c>
      <c r="F52" s="76">
        <f t="shared" si="81"/>
        <v>1364987272.5130064</v>
      </c>
      <c r="G52" s="76">
        <f t="shared" si="81"/>
        <v>1038500000</v>
      </c>
      <c r="H52" s="76">
        <f t="shared" si="81"/>
        <v>500000000</v>
      </c>
      <c r="I52" s="76">
        <f t="shared" si="81"/>
        <v>0</v>
      </c>
      <c r="J52" s="76">
        <f t="shared" si="81"/>
        <v>167000000</v>
      </c>
      <c r="K52" s="76">
        <f t="shared" si="81"/>
        <v>23000000</v>
      </c>
      <c r="L52" s="76">
        <f t="shared" si="81"/>
        <v>0</v>
      </c>
      <c r="M52" s="76">
        <f t="shared" si="81"/>
        <v>91000000</v>
      </c>
      <c r="N52" s="76">
        <f t="shared" si="81"/>
        <v>56000000</v>
      </c>
      <c r="O52" s="76">
        <f t="shared" si="81"/>
        <v>70000000</v>
      </c>
      <c r="P52" s="76">
        <f t="shared" si="81"/>
        <v>211000000.00000003</v>
      </c>
      <c r="Q52" s="76">
        <f t="shared" si="81"/>
        <v>20000000</v>
      </c>
      <c r="S52" s="588">
        <v>40504</v>
      </c>
      <c r="T52" s="589">
        <f t="shared" si="47"/>
        <v>0</v>
      </c>
      <c r="U52" s="589">
        <f t="shared" si="62"/>
        <v>0</v>
      </c>
      <c r="V52" s="589">
        <f t="shared" si="63"/>
        <v>0</v>
      </c>
      <c r="W52" s="589">
        <f t="shared" si="64"/>
        <v>0</v>
      </c>
      <c r="X52" s="589">
        <f t="shared" si="65"/>
        <v>206297756.13999999</v>
      </c>
      <c r="Y52" s="589">
        <f t="shared" si="66"/>
        <v>0</v>
      </c>
      <c r="Z52" s="589">
        <f t="shared" si="67"/>
        <v>0</v>
      </c>
      <c r="AA52" s="589">
        <f t="shared" si="68"/>
        <v>0</v>
      </c>
      <c r="AB52" s="589">
        <f t="shared" si="69"/>
        <v>0</v>
      </c>
      <c r="AC52" s="589">
        <f t="shared" si="70"/>
        <v>0</v>
      </c>
      <c r="AD52" s="589">
        <f t="shared" si="71"/>
        <v>0</v>
      </c>
      <c r="AE52" s="589">
        <f t="shared" si="72"/>
        <v>0</v>
      </c>
      <c r="AF52" s="589">
        <f t="shared" si="73"/>
        <v>0</v>
      </c>
      <c r="AG52" s="589">
        <f t="shared" si="74"/>
        <v>0</v>
      </c>
      <c r="AH52" s="589">
        <f t="shared" si="75"/>
        <v>0</v>
      </c>
      <c r="AI52" s="589">
        <f t="shared" si="76"/>
        <v>0</v>
      </c>
      <c r="AJ52" s="40">
        <v>40504</v>
      </c>
      <c r="AK52" s="187">
        <f t="shared" si="8"/>
        <v>2903487272.5130062</v>
      </c>
      <c r="AL52" s="43">
        <f t="shared" si="9"/>
        <v>2903487272.5130062</v>
      </c>
      <c r="AM52" s="43">
        <f t="shared" si="10"/>
        <v>3070487272.5130062</v>
      </c>
      <c r="AN52" s="43">
        <f t="shared" si="11"/>
        <v>3093487272.5130062</v>
      </c>
      <c r="AO52" s="43">
        <f t="shared" si="12"/>
        <v>11970949090.052025</v>
      </c>
      <c r="AR52" s="40">
        <v>40504</v>
      </c>
      <c r="AS52" s="63">
        <v>0</v>
      </c>
      <c r="AT52" s="63">
        <v>0</v>
      </c>
      <c r="AU52" s="63">
        <v>0</v>
      </c>
      <c r="AV52" s="63">
        <v>0</v>
      </c>
      <c r="AW52" s="85">
        <v>206297756.13999999</v>
      </c>
      <c r="AX52" s="63">
        <v>0</v>
      </c>
      <c r="AY52" s="63">
        <v>0</v>
      </c>
      <c r="AZ52" s="63">
        <v>0</v>
      </c>
      <c r="BA52" s="63">
        <v>0</v>
      </c>
      <c r="BB52" s="63">
        <v>0</v>
      </c>
      <c r="BC52" s="63">
        <v>0</v>
      </c>
      <c r="BD52" s="63">
        <v>0</v>
      </c>
      <c r="BE52" s="63">
        <v>0</v>
      </c>
      <c r="BF52" s="63">
        <v>0</v>
      </c>
      <c r="BG52" s="63">
        <v>0</v>
      </c>
      <c r="BH52" s="63">
        <v>0</v>
      </c>
      <c r="BJ52" s="40">
        <v>40504</v>
      </c>
      <c r="BK52" s="43">
        <f t="shared" si="13"/>
        <v>0</v>
      </c>
      <c r="BL52" s="43">
        <f t="shared" si="14"/>
        <v>0</v>
      </c>
      <c r="BM52" s="43">
        <f t="shared" si="15"/>
        <v>0</v>
      </c>
      <c r="BN52" s="43">
        <f t="shared" si="16"/>
        <v>0</v>
      </c>
      <c r="BO52" s="43">
        <f t="shared" si="17"/>
        <v>0</v>
      </c>
      <c r="BP52" s="43">
        <f t="shared" si="18"/>
        <v>0</v>
      </c>
      <c r="BQ52" s="43">
        <f t="shared" si="19"/>
        <v>0</v>
      </c>
      <c r="BR52" s="43">
        <f t="shared" si="20"/>
        <v>0</v>
      </c>
      <c r="BS52" s="43">
        <f t="shared" si="21"/>
        <v>0</v>
      </c>
      <c r="BT52" s="43">
        <f t="shared" si="22"/>
        <v>0</v>
      </c>
      <c r="BU52" s="43">
        <f t="shared" si="23"/>
        <v>0</v>
      </c>
      <c r="BV52" s="43">
        <f t="shared" si="24"/>
        <v>0</v>
      </c>
      <c r="BW52" s="43">
        <f t="shared" si="25"/>
        <v>0</v>
      </c>
      <c r="BX52" s="43">
        <f t="shared" si="26"/>
        <v>0</v>
      </c>
      <c r="BY52" s="43">
        <f t="shared" si="27"/>
        <v>0</v>
      </c>
      <c r="BZ52" s="43">
        <f t="shared" si="28"/>
        <v>0</v>
      </c>
      <c r="CA52" s="40">
        <v>40504</v>
      </c>
      <c r="CB52" s="43">
        <f t="shared" si="80"/>
        <v>0</v>
      </c>
      <c r="CC52" s="43">
        <f t="shared" si="80"/>
        <v>0</v>
      </c>
      <c r="CD52" s="43">
        <f t="shared" si="80"/>
        <v>0</v>
      </c>
      <c r="CE52" s="43">
        <f t="shared" si="80"/>
        <v>0</v>
      </c>
      <c r="CF52" s="43">
        <f t="shared" si="80"/>
        <v>0</v>
      </c>
      <c r="CG52" s="43">
        <f t="shared" si="80"/>
        <v>0</v>
      </c>
      <c r="CH52" s="43">
        <f t="shared" si="80"/>
        <v>0</v>
      </c>
      <c r="CI52" s="43">
        <f t="shared" si="80"/>
        <v>0</v>
      </c>
      <c r="CJ52" s="43">
        <f t="shared" si="80"/>
        <v>0</v>
      </c>
      <c r="CK52" s="43">
        <f t="shared" si="80"/>
        <v>0</v>
      </c>
      <c r="CL52" s="43">
        <f t="shared" si="80"/>
        <v>0</v>
      </c>
      <c r="CM52" s="43">
        <f t="shared" si="80"/>
        <v>0</v>
      </c>
      <c r="CN52" s="43">
        <f t="shared" si="80"/>
        <v>0</v>
      </c>
      <c r="CO52" s="43">
        <f t="shared" si="80"/>
        <v>0</v>
      </c>
      <c r="CP52" s="43">
        <f t="shared" si="80"/>
        <v>0</v>
      </c>
      <c r="CQ52" s="43">
        <f t="shared" si="61"/>
        <v>0</v>
      </c>
      <c r="CR52" s="64">
        <f t="shared" si="45"/>
        <v>0</v>
      </c>
      <c r="CT52" s="40">
        <v>40504</v>
      </c>
      <c r="CU52" s="71">
        <f>+CU$3-SUM(AS$4:AS52)</f>
        <v>0</v>
      </c>
      <c r="CV52" s="71">
        <f>+CV$3-SUM(AT$4:AT52)</f>
        <v>1.0000050067901611E-2</v>
      </c>
      <c r="CW52" s="71">
        <f>+CW$3-SUM(AU$4:AU52)</f>
        <v>0</v>
      </c>
      <c r="CX52" s="71">
        <f>+CX$3-SUM(AV$4:AV52)</f>
        <v>0</v>
      </c>
      <c r="CY52" s="71">
        <f>+CY$3-SUM(AW$4:AW52)</f>
        <v>1364987272.5099998</v>
      </c>
      <c r="CZ52" s="71">
        <f>+CZ$3-SUM(AX$4:AX52)</f>
        <v>1038500000</v>
      </c>
      <c r="DA52" s="71">
        <f>+DA$3-SUM(AY$4:AY52)</f>
        <v>500000000</v>
      </c>
      <c r="DB52" s="71">
        <f>+DB$3-SUM(AZ$4:AZ52)</f>
        <v>0</v>
      </c>
      <c r="DC52" s="71">
        <f>+DC$3-SUM(BA$4:BA52)</f>
        <v>167000000</v>
      </c>
      <c r="DD52" s="71">
        <f>+DD$3-SUM(BB$4:BB52)</f>
        <v>23000000</v>
      </c>
      <c r="DE52" s="71">
        <f>+DE$3-SUM(BC$4:BC52)</f>
        <v>0</v>
      </c>
      <c r="DF52" s="71">
        <f>+DF$3-SUM(BD$4:BD52)</f>
        <v>91000000</v>
      </c>
      <c r="DG52" s="71">
        <f>+DG$3-SUM(BE$4:BE52)</f>
        <v>56000000</v>
      </c>
      <c r="DH52" s="71">
        <f>+DH$3-SUM(BF$4:BF52)</f>
        <v>70000000</v>
      </c>
      <c r="DI52" s="71">
        <f>+DI$3-SUM(BG$4:BG52)</f>
        <v>211000000.00000003</v>
      </c>
      <c r="DJ52" s="71">
        <f>+DJ$3-SUM(BH$4:BH52)</f>
        <v>20000000</v>
      </c>
    </row>
    <row r="53" spans="1:114">
      <c r="A53" s="75">
        <v>40532</v>
      </c>
      <c r="B53" s="76">
        <f t="shared" si="79"/>
        <v>0</v>
      </c>
      <c r="C53" s="76">
        <f t="shared" si="81"/>
        <v>0</v>
      </c>
      <c r="D53" s="76">
        <f t="shared" si="81"/>
        <v>0</v>
      </c>
      <c r="E53" s="76">
        <f t="shared" si="81"/>
        <v>0</v>
      </c>
      <c r="F53" s="76">
        <f t="shared" si="81"/>
        <v>1364987272.5130064</v>
      </c>
      <c r="G53" s="76">
        <f t="shared" si="81"/>
        <v>1038500000</v>
      </c>
      <c r="H53" s="76">
        <f t="shared" si="81"/>
        <v>500000000</v>
      </c>
      <c r="I53" s="76">
        <f t="shared" si="81"/>
        <v>0</v>
      </c>
      <c r="J53" s="76">
        <f t="shared" si="81"/>
        <v>167000000</v>
      </c>
      <c r="K53" s="76">
        <f t="shared" si="81"/>
        <v>23000000</v>
      </c>
      <c r="L53" s="76">
        <f t="shared" si="81"/>
        <v>0</v>
      </c>
      <c r="M53" s="76">
        <f t="shared" si="81"/>
        <v>91000000</v>
      </c>
      <c r="N53" s="76">
        <f t="shared" si="81"/>
        <v>56000000</v>
      </c>
      <c r="O53" s="76">
        <f t="shared" si="81"/>
        <v>70000000</v>
      </c>
      <c r="P53" s="76">
        <f t="shared" si="81"/>
        <v>211000000.00000003</v>
      </c>
      <c r="Q53" s="76">
        <f t="shared" si="81"/>
        <v>20000000</v>
      </c>
      <c r="S53" s="40">
        <v>40532</v>
      </c>
      <c r="T53" s="82">
        <f t="shared" si="47"/>
        <v>0</v>
      </c>
      <c r="U53" s="82">
        <f t="shared" si="62"/>
        <v>0</v>
      </c>
      <c r="V53" s="82">
        <f t="shared" si="63"/>
        <v>0</v>
      </c>
      <c r="W53" s="82">
        <f t="shared" si="64"/>
        <v>0</v>
      </c>
      <c r="X53" s="82">
        <f t="shared" si="65"/>
        <v>0</v>
      </c>
      <c r="Y53" s="82">
        <f t="shared" si="66"/>
        <v>0</v>
      </c>
      <c r="Z53" s="82">
        <f t="shared" si="67"/>
        <v>0</v>
      </c>
      <c r="AA53" s="82">
        <f t="shared" si="68"/>
        <v>0</v>
      </c>
      <c r="AB53" s="82">
        <f t="shared" si="69"/>
        <v>0</v>
      </c>
      <c r="AC53" s="82">
        <f t="shared" si="70"/>
        <v>0</v>
      </c>
      <c r="AD53" s="82">
        <f t="shared" si="71"/>
        <v>0</v>
      </c>
      <c r="AE53" s="82">
        <f t="shared" si="72"/>
        <v>0</v>
      </c>
      <c r="AF53" s="82">
        <f t="shared" si="73"/>
        <v>0</v>
      </c>
      <c r="AG53" s="82">
        <f t="shared" si="74"/>
        <v>0</v>
      </c>
      <c r="AH53" s="82">
        <f t="shared" si="75"/>
        <v>0</v>
      </c>
      <c r="AI53" s="82">
        <f t="shared" si="76"/>
        <v>0</v>
      </c>
      <c r="AJ53" s="40">
        <v>40532</v>
      </c>
      <c r="AK53" s="187">
        <f t="shared" si="8"/>
        <v>2903487272.5130062</v>
      </c>
      <c r="AL53" s="43">
        <f t="shared" si="9"/>
        <v>2903487272.5130062</v>
      </c>
      <c r="AM53" s="43">
        <f t="shared" si="10"/>
        <v>3070487272.5130062</v>
      </c>
      <c r="AN53" s="43">
        <f t="shared" si="11"/>
        <v>3093487272.5130062</v>
      </c>
      <c r="AO53" s="43">
        <f t="shared" si="12"/>
        <v>11970949090.052025</v>
      </c>
      <c r="AR53" s="40">
        <v>40532</v>
      </c>
      <c r="AS53" s="63">
        <v>0</v>
      </c>
      <c r="AT53" s="63">
        <v>0</v>
      </c>
      <c r="AU53" s="63">
        <v>0</v>
      </c>
      <c r="AV53" s="63">
        <v>0</v>
      </c>
      <c r="AW53" s="63">
        <v>0</v>
      </c>
      <c r="AX53" s="63">
        <v>0</v>
      </c>
      <c r="AY53" s="63">
        <v>0</v>
      </c>
      <c r="AZ53" s="63">
        <v>0</v>
      </c>
      <c r="BA53" s="63">
        <v>0</v>
      </c>
      <c r="BB53" s="63">
        <v>0</v>
      </c>
      <c r="BC53" s="63">
        <v>0</v>
      </c>
      <c r="BD53" s="63">
        <v>0</v>
      </c>
      <c r="BE53" s="63">
        <v>0</v>
      </c>
      <c r="BF53" s="63">
        <v>0</v>
      </c>
      <c r="BG53" s="63">
        <v>0</v>
      </c>
      <c r="BH53" s="63">
        <v>0</v>
      </c>
      <c r="BJ53" s="40">
        <v>40532</v>
      </c>
      <c r="BK53" s="43">
        <f t="shared" si="13"/>
        <v>0</v>
      </c>
      <c r="BL53" s="43">
        <f t="shared" si="14"/>
        <v>0</v>
      </c>
      <c r="BM53" s="43">
        <f t="shared" si="15"/>
        <v>0</v>
      </c>
      <c r="BN53" s="43">
        <f t="shared" si="16"/>
        <v>0</v>
      </c>
      <c r="BO53" s="43">
        <f t="shared" si="17"/>
        <v>0</v>
      </c>
      <c r="BP53" s="43">
        <f t="shared" si="18"/>
        <v>0</v>
      </c>
      <c r="BQ53" s="43">
        <f t="shared" si="19"/>
        <v>0</v>
      </c>
      <c r="BR53" s="43">
        <f t="shared" si="20"/>
        <v>0</v>
      </c>
      <c r="BS53" s="43">
        <f t="shared" si="21"/>
        <v>0</v>
      </c>
      <c r="BT53" s="43">
        <f t="shared" si="22"/>
        <v>0</v>
      </c>
      <c r="BU53" s="43">
        <f t="shared" si="23"/>
        <v>0</v>
      </c>
      <c r="BV53" s="43">
        <f t="shared" si="24"/>
        <v>0</v>
      </c>
      <c r="BW53" s="43">
        <f t="shared" si="25"/>
        <v>0</v>
      </c>
      <c r="BX53" s="43">
        <f t="shared" si="26"/>
        <v>0</v>
      </c>
      <c r="BY53" s="43">
        <f t="shared" si="27"/>
        <v>0</v>
      </c>
      <c r="BZ53" s="43">
        <f t="shared" si="28"/>
        <v>0</v>
      </c>
      <c r="CA53" s="40">
        <v>40532</v>
      </c>
      <c r="CB53" s="43">
        <f t="shared" si="80"/>
        <v>0</v>
      </c>
      <c r="CC53" s="43">
        <f t="shared" si="80"/>
        <v>0</v>
      </c>
      <c r="CD53" s="43">
        <f t="shared" si="80"/>
        <v>0</v>
      </c>
      <c r="CE53" s="43">
        <f t="shared" si="80"/>
        <v>0</v>
      </c>
      <c r="CF53" s="43">
        <f t="shared" si="80"/>
        <v>0</v>
      </c>
      <c r="CG53" s="43">
        <f t="shared" si="80"/>
        <v>0</v>
      </c>
      <c r="CH53" s="43">
        <f t="shared" si="80"/>
        <v>0</v>
      </c>
      <c r="CI53" s="43">
        <f t="shared" si="80"/>
        <v>0</v>
      </c>
      <c r="CJ53" s="43">
        <f t="shared" si="80"/>
        <v>0</v>
      </c>
      <c r="CK53" s="43">
        <f t="shared" si="80"/>
        <v>0</v>
      </c>
      <c r="CL53" s="43">
        <f t="shared" si="80"/>
        <v>0</v>
      </c>
      <c r="CM53" s="43">
        <f t="shared" si="80"/>
        <v>0</v>
      </c>
      <c r="CN53" s="43">
        <f t="shared" si="80"/>
        <v>0</v>
      </c>
      <c r="CO53" s="43">
        <f t="shared" si="80"/>
        <v>0</v>
      </c>
      <c r="CP53" s="43">
        <f t="shared" si="80"/>
        <v>0</v>
      </c>
      <c r="CQ53" s="43">
        <f t="shared" si="61"/>
        <v>0</v>
      </c>
      <c r="CR53" s="64">
        <f t="shared" si="45"/>
        <v>0</v>
      </c>
      <c r="CT53" s="40">
        <v>40532</v>
      </c>
      <c r="CU53" s="71">
        <f>+CU$3-SUM(AS$4:AS53)</f>
        <v>0</v>
      </c>
      <c r="CV53" s="71">
        <f>+CV$3-SUM(AT$4:AT53)</f>
        <v>1.0000050067901611E-2</v>
      </c>
      <c r="CW53" s="71">
        <f>+CW$3-SUM(AU$4:AU53)</f>
        <v>0</v>
      </c>
      <c r="CX53" s="71">
        <f>+CX$3-SUM(AV$4:AV53)</f>
        <v>0</v>
      </c>
      <c r="CY53" s="71">
        <f>+CY$3-SUM(AW$4:AW53)</f>
        <v>1364987272.5099998</v>
      </c>
      <c r="CZ53" s="71">
        <f>+CZ$3-SUM(AX$4:AX53)</f>
        <v>1038500000</v>
      </c>
      <c r="DA53" s="71">
        <f>+DA$3-SUM(AY$4:AY53)</f>
        <v>500000000</v>
      </c>
      <c r="DB53" s="71">
        <f>+DB$3-SUM(AZ$4:AZ53)</f>
        <v>0</v>
      </c>
      <c r="DC53" s="71">
        <f>+DC$3-SUM(BA$4:BA53)</f>
        <v>167000000</v>
      </c>
      <c r="DD53" s="71">
        <f>+DD$3-SUM(BB$4:BB53)</f>
        <v>23000000</v>
      </c>
      <c r="DE53" s="71">
        <f>+DE$3-SUM(BC$4:BC53)</f>
        <v>0</v>
      </c>
      <c r="DF53" s="71">
        <f>+DF$3-SUM(BD$4:BD53)</f>
        <v>91000000</v>
      </c>
      <c r="DG53" s="71">
        <f>+DG$3-SUM(BE$4:BE53)</f>
        <v>56000000</v>
      </c>
      <c r="DH53" s="71">
        <f>+DH$3-SUM(BF$4:BF53)</f>
        <v>70000000</v>
      </c>
      <c r="DI53" s="71">
        <f>+DI$3-SUM(BG$4:BG53)</f>
        <v>211000000.00000003</v>
      </c>
      <c r="DJ53" s="71">
        <f>+DJ$3-SUM(BH$4:BH53)</f>
        <v>20000000</v>
      </c>
    </row>
    <row r="54" spans="1:114">
      <c r="A54" s="75">
        <v>40563</v>
      </c>
      <c r="B54" s="76">
        <f t="shared" si="79"/>
        <v>0</v>
      </c>
      <c r="C54" s="76">
        <f t="shared" si="81"/>
        <v>0</v>
      </c>
      <c r="D54" s="76">
        <f t="shared" si="81"/>
        <v>0</v>
      </c>
      <c r="E54" s="76">
        <f t="shared" si="81"/>
        <v>0</v>
      </c>
      <c r="F54" s="76">
        <f t="shared" si="81"/>
        <v>1364987272.5130064</v>
      </c>
      <c r="G54" s="76">
        <f t="shared" si="81"/>
        <v>1038500000</v>
      </c>
      <c r="H54" s="76">
        <f t="shared" si="81"/>
        <v>500000000</v>
      </c>
      <c r="I54" s="76">
        <f t="shared" si="81"/>
        <v>0</v>
      </c>
      <c r="J54" s="76">
        <f t="shared" si="81"/>
        <v>167000000</v>
      </c>
      <c r="K54" s="76">
        <f t="shared" si="81"/>
        <v>23000000</v>
      </c>
      <c r="L54" s="76">
        <f t="shared" si="81"/>
        <v>0</v>
      </c>
      <c r="M54" s="76">
        <f t="shared" si="81"/>
        <v>91000000</v>
      </c>
      <c r="N54" s="76">
        <f t="shared" si="81"/>
        <v>56000000</v>
      </c>
      <c r="O54" s="76">
        <f t="shared" si="81"/>
        <v>70000000</v>
      </c>
      <c r="P54" s="76">
        <f t="shared" si="81"/>
        <v>211000000.00000003</v>
      </c>
      <c r="Q54" s="76">
        <f t="shared" si="81"/>
        <v>20000000</v>
      </c>
      <c r="S54" s="40">
        <v>40563</v>
      </c>
      <c r="T54" s="82">
        <f t="shared" si="47"/>
        <v>0</v>
      </c>
      <c r="U54" s="82">
        <f t="shared" si="62"/>
        <v>0</v>
      </c>
      <c r="V54" s="82">
        <f t="shared" si="63"/>
        <v>0</v>
      </c>
      <c r="W54" s="82">
        <f t="shared" si="64"/>
        <v>0</v>
      </c>
      <c r="X54" s="82">
        <f t="shared" si="65"/>
        <v>0</v>
      </c>
      <c r="Y54" s="82">
        <f t="shared" si="66"/>
        <v>0</v>
      </c>
      <c r="Z54" s="82">
        <f t="shared" si="67"/>
        <v>0</v>
      </c>
      <c r="AA54" s="82">
        <f t="shared" si="68"/>
        <v>0</v>
      </c>
      <c r="AB54" s="82">
        <f t="shared" si="69"/>
        <v>0</v>
      </c>
      <c r="AC54" s="82">
        <f t="shared" si="70"/>
        <v>0</v>
      </c>
      <c r="AD54" s="82">
        <f t="shared" si="71"/>
        <v>0</v>
      </c>
      <c r="AE54" s="82">
        <f t="shared" si="72"/>
        <v>0</v>
      </c>
      <c r="AF54" s="82">
        <f t="shared" si="73"/>
        <v>0</v>
      </c>
      <c r="AG54" s="82">
        <f t="shared" si="74"/>
        <v>0</v>
      </c>
      <c r="AH54" s="82">
        <f t="shared" si="75"/>
        <v>0</v>
      </c>
      <c r="AI54" s="82">
        <f t="shared" si="76"/>
        <v>0</v>
      </c>
      <c r="AJ54" s="40">
        <v>40563</v>
      </c>
      <c r="AK54" s="187">
        <f t="shared" si="8"/>
        <v>2903487272.5130062</v>
      </c>
      <c r="AL54" s="43">
        <f t="shared" si="9"/>
        <v>2903487272.5130062</v>
      </c>
      <c r="AM54" s="43">
        <f t="shared" si="10"/>
        <v>3070487272.5130062</v>
      </c>
      <c r="AN54" s="43">
        <f t="shared" si="11"/>
        <v>3093487272.5130062</v>
      </c>
      <c r="AO54" s="43">
        <f t="shared" si="12"/>
        <v>11970949090.052025</v>
      </c>
      <c r="AR54" s="40">
        <v>40563</v>
      </c>
      <c r="AS54" s="63">
        <v>0</v>
      </c>
      <c r="AT54" s="63">
        <v>0</v>
      </c>
      <c r="AU54" s="63">
        <v>0</v>
      </c>
      <c r="AV54" s="63">
        <v>0</v>
      </c>
      <c r="AW54" s="63">
        <v>0</v>
      </c>
      <c r="AX54" s="63">
        <v>0</v>
      </c>
      <c r="AY54" s="63">
        <v>0</v>
      </c>
      <c r="AZ54" s="63">
        <v>0</v>
      </c>
      <c r="BA54" s="63">
        <v>0</v>
      </c>
      <c r="BB54" s="63">
        <v>0</v>
      </c>
      <c r="BC54" s="63">
        <v>0</v>
      </c>
      <c r="BD54" s="63">
        <v>0</v>
      </c>
      <c r="BE54" s="63">
        <v>0</v>
      </c>
      <c r="BF54" s="63">
        <v>0</v>
      </c>
      <c r="BG54" s="63">
        <v>0</v>
      </c>
      <c r="BH54" s="63">
        <v>0</v>
      </c>
      <c r="BJ54" s="40">
        <v>40563</v>
      </c>
      <c r="BK54" s="43">
        <f t="shared" si="13"/>
        <v>0</v>
      </c>
      <c r="BL54" s="43">
        <f t="shared" si="14"/>
        <v>0</v>
      </c>
      <c r="BM54" s="43">
        <f t="shared" si="15"/>
        <v>0</v>
      </c>
      <c r="BN54" s="43">
        <f t="shared" si="16"/>
        <v>0</v>
      </c>
      <c r="BO54" s="43">
        <f t="shared" si="17"/>
        <v>0</v>
      </c>
      <c r="BP54" s="43">
        <f t="shared" si="18"/>
        <v>0</v>
      </c>
      <c r="BQ54" s="43">
        <f t="shared" si="19"/>
        <v>0</v>
      </c>
      <c r="BR54" s="43">
        <f t="shared" si="20"/>
        <v>0</v>
      </c>
      <c r="BS54" s="43">
        <f t="shared" si="21"/>
        <v>0</v>
      </c>
      <c r="BT54" s="43">
        <f t="shared" si="22"/>
        <v>0</v>
      </c>
      <c r="BU54" s="43">
        <f t="shared" si="23"/>
        <v>0</v>
      </c>
      <c r="BV54" s="43">
        <f t="shared" si="24"/>
        <v>0</v>
      </c>
      <c r="BW54" s="43">
        <f t="shared" si="25"/>
        <v>0</v>
      </c>
      <c r="BX54" s="43">
        <f t="shared" si="26"/>
        <v>0</v>
      </c>
      <c r="BY54" s="43">
        <f t="shared" si="27"/>
        <v>0</v>
      </c>
      <c r="BZ54" s="43">
        <f t="shared" si="28"/>
        <v>0</v>
      </c>
      <c r="CA54" s="40">
        <v>40563</v>
      </c>
      <c r="CB54" s="43">
        <f t="shared" si="80"/>
        <v>0</v>
      </c>
      <c r="CC54" s="43">
        <f t="shared" si="80"/>
        <v>0</v>
      </c>
      <c r="CD54" s="43">
        <f t="shared" si="80"/>
        <v>0</v>
      </c>
      <c r="CE54" s="43">
        <f t="shared" si="80"/>
        <v>0</v>
      </c>
      <c r="CF54" s="43">
        <f t="shared" si="80"/>
        <v>0</v>
      </c>
      <c r="CG54" s="43">
        <f t="shared" si="80"/>
        <v>0</v>
      </c>
      <c r="CH54" s="43">
        <f t="shared" si="80"/>
        <v>0</v>
      </c>
      <c r="CI54" s="43">
        <f t="shared" si="80"/>
        <v>0</v>
      </c>
      <c r="CJ54" s="43">
        <f t="shared" si="80"/>
        <v>0</v>
      </c>
      <c r="CK54" s="43">
        <f t="shared" si="80"/>
        <v>0</v>
      </c>
      <c r="CL54" s="43">
        <f t="shared" si="80"/>
        <v>0</v>
      </c>
      <c r="CM54" s="43">
        <f t="shared" si="80"/>
        <v>0</v>
      </c>
      <c r="CN54" s="43">
        <f t="shared" si="80"/>
        <v>0</v>
      </c>
      <c r="CO54" s="43">
        <f t="shared" si="80"/>
        <v>0</v>
      </c>
      <c r="CP54" s="43">
        <f t="shared" si="80"/>
        <v>0</v>
      </c>
      <c r="CQ54" s="43">
        <f t="shared" si="61"/>
        <v>0</v>
      </c>
      <c r="CR54" s="64">
        <f t="shared" si="45"/>
        <v>0</v>
      </c>
      <c r="CT54" s="40">
        <v>40563</v>
      </c>
      <c r="CU54" s="71">
        <f>+CU$3-SUM(AS$4:AS54)</f>
        <v>0</v>
      </c>
      <c r="CV54" s="71">
        <f>+CV$3-SUM(AT$4:AT54)</f>
        <v>1.0000050067901611E-2</v>
      </c>
      <c r="CW54" s="71">
        <f>+CW$3-SUM(AU$4:AU54)</f>
        <v>0</v>
      </c>
      <c r="CX54" s="71">
        <f>+CX$3-SUM(AV$4:AV54)</f>
        <v>0</v>
      </c>
      <c r="CY54" s="71">
        <f>+CY$3-SUM(AW$4:AW54)</f>
        <v>1364987272.5099998</v>
      </c>
      <c r="CZ54" s="71">
        <f>+CZ$3-SUM(AX$4:AX54)</f>
        <v>1038500000</v>
      </c>
      <c r="DA54" s="71">
        <f>+DA$3-SUM(AY$4:AY54)</f>
        <v>500000000</v>
      </c>
      <c r="DB54" s="71">
        <f>+DB$3-SUM(AZ$4:AZ54)</f>
        <v>0</v>
      </c>
      <c r="DC54" s="71">
        <f>+DC$3-SUM(BA$4:BA54)</f>
        <v>167000000</v>
      </c>
      <c r="DD54" s="71">
        <f>+DD$3-SUM(BB$4:BB54)</f>
        <v>23000000</v>
      </c>
      <c r="DE54" s="71">
        <f>+DE$3-SUM(BC$4:BC54)</f>
        <v>0</v>
      </c>
      <c r="DF54" s="71">
        <f>+DF$3-SUM(BD$4:BD54)</f>
        <v>91000000</v>
      </c>
      <c r="DG54" s="71">
        <f>+DG$3-SUM(BE$4:BE54)</f>
        <v>56000000</v>
      </c>
      <c r="DH54" s="71">
        <f>+DH$3-SUM(BF$4:BF54)</f>
        <v>70000000</v>
      </c>
      <c r="DI54" s="71">
        <f>+DI$3-SUM(BG$4:BG54)</f>
        <v>211000000.00000003</v>
      </c>
      <c r="DJ54" s="71">
        <f>+DJ$3-SUM(BH$4:BH54)</f>
        <v>20000000</v>
      </c>
    </row>
    <row r="55" spans="1:114">
      <c r="A55" s="75">
        <v>40596</v>
      </c>
      <c r="B55" s="76">
        <f t="shared" si="79"/>
        <v>0</v>
      </c>
      <c r="C55" s="76">
        <f t="shared" si="81"/>
        <v>0</v>
      </c>
      <c r="D55" s="76">
        <f t="shared" si="81"/>
        <v>0</v>
      </c>
      <c r="E55" s="76">
        <f t="shared" si="81"/>
        <v>0</v>
      </c>
      <c r="F55" s="76">
        <f t="shared" si="81"/>
        <v>1169882900.6860857</v>
      </c>
      <c r="G55" s="76">
        <f t="shared" si="81"/>
        <v>1038500000</v>
      </c>
      <c r="H55" s="76">
        <f t="shared" si="81"/>
        <v>500000000</v>
      </c>
      <c r="I55" s="76">
        <f t="shared" si="81"/>
        <v>0</v>
      </c>
      <c r="J55" s="76">
        <f t="shared" si="81"/>
        <v>167000000</v>
      </c>
      <c r="K55" s="76">
        <f t="shared" si="81"/>
        <v>23000000</v>
      </c>
      <c r="L55" s="76">
        <f t="shared" si="81"/>
        <v>0</v>
      </c>
      <c r="M55" s="76">
        <f t="shared" si="81"/>
        <v>91000000</v>
      </c>
      <c r="N55" s="76">
        <f t="shared" si="81"/>
        <v>56000000</v>
      </c>
      <c r="O55" s="76">
        <f t="shared" si="81"/>
        <v>70000000</v>
      </c>
      <c r="P55" s="76">
        <f t="shared" si="81"/>
        <v>211000000.00000003</v>
      </c>
      <c r="Q55" s="76">
        <f t="shared" si="81"/>
        <v>20000000</v>
      </c>
      <c r="S55" s="588">
        <v>40596</v>
      </c>
      <c r="T55" s="589">
        <f t="shared" si="47"/>
        <v>0</v>
      </c>
      <c r="U55" s="589">
        <f t="shared" si="62"/>
        <v>0</v>
      </c>
      <c r="V55" s="589">
        <f t="shared" si="63"/>
        <v>0</v>
      </c>
      <c r="W55" s="589">
        <f t="shared" si="64"/>
        <v>0</v>
      </c>
      <c r="X55" s="589">
        <f t="shared" si="65"/>
        <v>195104371.83000001</v>
      </c>
      <c r="Y55" s="589">
        <f t="shared" si="66"/>
        <v>0</v>
      </c>
      <c r="Z55" s="589">
        <f t="shared" si="67"/>
        <v>0</v>
      </c>
      <c r="AA55" s="589">
        <f t="shared" si="68"/>
        <v>0</v>
      </c>
      <c r="AB55" s="589">
        <f t="shared" si="69"/>
        <v>0</v>
      </c>
      <c r="AC55" s="589">
        <f t="shared" si="70"/>
        <v>0</v>
      </c>
      <c r="AD55" s="589">
        <f t="shared" si="71"/>
        <v>0</v>
      </c>
      <c r="AE55" s="589">
        <f t="shared" si="72"/>
        <v>0</v>
      </c>
      <c r="AF55" s="589">
        <f t="shared" si="73"/>
        <v>0</v>
      </c>
      <c r="AG55" s="589">
        <f t="shared" si="74"/>
        <v>0</v>
      </c>
      <c r="AH55" s="589">
        <f t="shared" si="75"/>
        <v>0</v>
      </c>
      <c r="AI55" s="589">
        <f t="shared" si="76"/>
        <v>0</v>
      </c>
      <c r="AJ55" s="40">
        <v>40596</v>
      </c>
      <c r="AK55" s="187">
        <f t="shared" si="8"/>
        <v>2708382900.6860857</v>
      </c>
      <c r="AL55" s="43">
        <f t="shared" si="9"/>
        <v>2708382900.6860857</v>
      </c>
      <c r="AM55" s="43">
        <f t="shared" si="10"/>
        <v>2875382900.6860857</v>
      </c>
      <c r="AN55" s="43">
        <f t="shared" si="11"/>
        <v>2898382900.6860857</v>
      </c>
      <c r="AO55" s="43">
        <f t="shared" si="12"/>
        <v>11190531602.744343</v>
      </c>
      <c r="AR55" s="40">
        <v>40596</v>
      </c>
      <c r="AS55" s="63">
        <v>0</v>
      </c>
      <c r="AT55" s="63">
        <v>0</v>
      </c>
      <c r="AU55" s="63">
        <v>0</v>
      </c>
      <c r="AV55" s="63">
        <v>0</v>
      </c>
      <c r="AW55" s="85">
        <v>195104371.83000001</v>
      </c>
      <c r="AX55" s="63">
        <v>0</v>
      </c>
      <c r="AY55" s="63">
        <v>0</v>
      </c>
      <c r="AZ55" s="63">
        <v>0</v>
      </c>
      <c r="BA55" s="63">
        <v>0</v>
      </c>
      <c r="BB55" s="63">
        <v>0</v>
      </c>
      <c r="BC55" s="63">
        <v>0</v>
      </c>
      <c r="BD55" s="63">
        <v>0</v>
      </c>
      <c r="BE55" s="63">
        <v>0</v>
      </c>
      <c r="BF55" s="63">
        <v>0</v>
      </c>
      <c r="BG55" s="63">
        <v>0</v>
      </c>
      <c r="BH55" s="63">
        <v>0</v>
      </c>
      <c r="BJ55" s="40">
        <v>40596</v>
      </c>
      <c r="BK55" s="43">
        <f t="shared" si="13"/>
        <v>0</v>
      </c>
      <c r="BL55" s="43">
        <f t="shared" si="14"/>
        <v>0</v>
      </c>
      <c r="BM55" s="43">
        <f t="shared" si="15"/>
        <v>0</v>
      </c>
      <c r="BN55" s="43">
        <f t="shared" si="16"/>
        <v>0</v>
      </c>
      <c r="BO55" s="43">
        <f t="shared" si="17"/>
        <v>0</v>
      </c>
      <c r="BP55" s="43">
        <f t="shared" si="18"/>
        <v>0</v>
      </c>
      <c r="BQ55" s="43">
        <f t="shared" si="19"/>
        <v>0</v>
      </c>
      <c r="BR55" s="43">
        <f t="shared" si="20"/>
        <v>0</v>
      </c>
      <c r="BS55" s="43">
        <f t="shared" si="21"/>
        <v>0</v>
      </c>
      <c r="BT55" s="43">
        <f t="shared" si="22"/>
        <v>0</v>
      </c>
      <c r="BU55" s="43">
        <f t="shared" si="23"/>
        <v>0</v>
      </c>
      <c r="BV55" s="43">
        <f t="shared" si="24"/>
        <v>0</v>
      </c>
      <c r="BW55" s="43">
        <f t="shared" si="25"/>
        <v>0</v>
      </c>
      <c r="BX55" s="43">
        <f t="shared" si="26"/>
        <v>0</v>
      </c>
      <c r="BY55" s="43">
        <f t="shared" si="27"/>
        <v>0</v>
      </c>
      <c r="BZ55" s="43">
        <f t="shared" si="28"/>
        <v>0</v>
      </c>
      <c r="CA55" s="40">
        <v>40596</v>
      </c>
      <c r="CB55" s="43">
        <f t="shared" ref="CB55:CP71" si="82">+CB54+BK55</f>
        <v>0</v>
      </c>
      <c r="CC55" s="43">
        <f t="shared" si="82"/>
        <v>0</v>
      </c>
      <c r="CD55" s="43">
        <f t="shared" si="82"/>
        <v>0</v>
      </c>
      <c r="CE55" s="43">
        <f t="shared" si="82"/>
        <v>0</v>
      </c>
      <c r="CF55" s="43">
        <f t="shared" si="82"/>
        <v>0</v>
      </c>
      <c r="CG55" s="43">
        <f t="shared" si="82"/>
        <v>0</v>
      </c>
      <c r="CH55" s="43">
        <f t="shared" si="82"/>
        <v>0</v>
      </c>
      <c r="CI55" s="43">
        <f t="shared" si="82"/>
        <v>0</v>
      </c>
      <c r="CJ55" s="43">
        <f t="shared" si="82"/>
        <v>0</v>
      </c>
      <c r="CK55" s="43">
        <f t="shared" si="82"/>
        <v>0</v>
      </c>
      <c r="CL55" s="43">
        <f t="shared" si="82"/>
        <v>0</v>
      </c>
      <c r="CM55" s="43">
        <f t="shared" si="82"/>
        <v>0</v>
      </c>
      <c r="CN55" s="43">
        <f t="shared" si="82"/>
        <v>0</v>
      </c>
      <c r="CO55" s="43">
        <f t="shared" si="82"/>
        <v>0</v>
      </c>
      <c r="CP55" s="43">
        <f t="shared" si="82"/>
        <v>0</v>
      </c>
      <c r="CQ55" s="43">
        <f t="shared" si="61"/>
        <v>0</v>
      </c>
      <c r="CR55" s="64">
        <f t="shared" si="45"/>
        <v>0</v>
      </c>
      <c r="CT55" s="40">
        <v>40596</v>
      </c>
      <c r="CU55" s="71">
        <f>+CU$3-SUM(AS$4:AS55)</f>
        <v>0</v>
      </c>
      <c r="CV55" s="71">
        <f>+CV$3-SUM(AT$4:AT55)</f>
        <v>1.0000050067901611E-2</v>
      </c>
      <c r="CW55" s="71">
        <f>+CW$3-SUM(AU$4:AU55)</f>
        <v>0</v>
      </c>
      <c r="CX55" s="71">
        <f>+CX$3-SUM(AV$4:AV55)</f>
        <v>0</v>
      </c>
      <c r="CY55" s="71">
        <f>+CY$3-SUM(AW$4:AW55)</f>
        <v>1169882900.6799998</v>
      </c>
      <c r="CZ55" s="71">
        <f>+CZ$3-SUM(AX$4:AX55)</f>
        <v>1038500000</v>
      </c>
      <c r="DA55" s="71">
        <f>+DA$3-SUM(AY$4:AY55)</f>
        <v>500000000</v>
      </c>
      <c r="DB55" s="71">
        <f>+DB$3-SUM(AZ$4:AZ55)</f>
        <v>0</v>
      </c>
      <c r="DC55" s="71">
        <f>+DC$3-SUM(BA$4:BA55)</f>
        <v>167000000</v>
      </c>
      <c r="DD55" s="71">
        <f>+DD$3-SUM(BB$4:BB55)</f>
        <v>23000000</v>
      </c>
      <c r="DE55" s="71">
        <f>+DE$3-SUM(BC$4:BC55)</f>
        <v>0</v>
      </c>
      <c r="DF55" s="71">
        <f>+DF$3-SUM(BD$4:BD55)</f>
        <v>91000000</v>
      </c>
      <c r="DG55" s="71">
        <f>+DG$3-SUM(BE$4:BE55)</f>
        <v>56000000</v>
      </c>
      <c r="DH55" s="71">
        <f>+DH$3-SUM(BF$4:BF55)</f>
        <v>70000000</v>
      </c>
      <c r="DI55" s="71">
        <f>+DI$3-SUM(BG$4:BG55)</f>
        <v>211000000.00000003</v>
      </c>
      <c r="DJ55" s="71">
        <f>+DJ$3-SUM(BH$4:BH55)</f>
        <v>20000000</v>
      </c>
    </row>
    <row r="56" spans="1:114">
      <c r="A56" s="75">
        <v>40622</v>
      </c>
      <c r="B56" s="76">
        <f t="shared" si="79"/>
        <v>0</v>
      </c>
      <c r="C56" s="76">
        <f t="shared" si="81"/>
        <v>0</v>
      </c>
      <c r="D56" s="76">
        <f t="shared" si="81"/>
        <v>0</v>
      </c>
      <c r="E56" s="76">
        <f t="shared" si="81"/>
        <v>0</v>
      </c>
      <c r="F56" s="76">
        <f t="shared" si="81"/>
        <v>1169882900.6860857</v>
      </c>
      <c r="G56" s="76">
        <f t="shared" si="81"/>
        <v>1038500000</v>
      </c>
      <c r="H56" s="76">
        <f t="shared" si="81"/>
        <v>500000000</v>
      </c>
      <c r="I56" s="76">
        <f t="shared" si="81"/>
        <v>0</v>
      </c>
      <c r="J56" s="76">
        <f t="shared" si="81"/>
        <v>167000000</v>
      </c>
      <c r="K56" s="76">
        <f t="shared" si="81"/>
        <v>23000000</v>
      </c>
      <c r="L56" s="76">
        <f t="shared" si="81"/>
        <v>0</v>
      </c>
      <c r="M56" s="76">
        <f t="shared" si="81"/>
        <v>91000000</v>
      </c>
      <c r="N56" s="76">
        <f t="shared" si="81"/>
        <v>56000000</v>
      </c>
      <c r="O56" s="76">
        <f t="shared" si="81"/>
        <v>70000000</v>
      </c>
      <c r="P56" s="76">
        <f t="shared" si="81"/>
        <v>211000000.00000003</v>
      </c>
      <c r="Q56" s="76">
        <f t="shared" si="81"/>
        <v>20000000</v>
      </c>
      <c r="S56" s="40">
        <v>40622</v>
      </c>
      <c r="T56" s="82">
        <f t="shared" si="47"/>
        <v>0</v>
      </c>
      <c r="U56" s="82">
        <f t="shared" si="62"/>
        <v>0</v>
      </c>
      <c r="V56" s="82">
        <f t="shared" si="63"/>
        <v>0</v>
      </c>
      <c r="W56" s="82">
        <f t="shared" si="64"/>
        <v>0</v>
      </c>
      <c r="X56" s="82">
        <f t="shared" si="65"/>
        <v>0</v>
      </c>
      <c r="Y56" s="82">
        <f t="shared" si="66"/>
        <v>0</v>
      </c>
      <c r="Z56" s="82">
        <f t="shared" si="67"/>
        <v>0</v>
      </c>
      <c r="AA56" s="82">
        <f t="shared" si="68"/>
        <v>0</v>
      </c>
      <c r="AB56" s="82">
        <f t="shared" si="69"/>
        <v>0</v>
      </c>
      <c r="AC56" s="82">
        <f t="shared" si="70"/>
        <v>0</v>
      </c>
      <c r="AD56" s="82">
        <f t="shared" si="71"/>
        <v>0</v>
      </c>
      <c r="AE56" s="82">
        <f t="shared" si="72"/>
        <v>0</v>
      </c>
      <c r="AF56" s="82">
        <f t="shared" si="73"/>
        <v>0</v>
      </c>
      <c r="AG56" s="82">
        <f t="shared" si="74"/>
        <v>0</v>
      </c>
      <c r="AH56" s="82">
        <f t="shared" si="75"/>
        <v>0</v>
      </c>
      <c r="AI56" s="82">
        <f t="shared" si="76"/>
        <v>0</v>
      </c>
      <c r="AJ56" s="40">
        <v>40622</v>
      </c>
      <c r="AK56" s="187">
        <f t="shared" si="8"/>
        <v>2708382900.6860857</v>
      </c>
      <c r="AL56" s="43">
        <f t="shared" si="9"/>
        <v>2708382900.6860857</v>
      </c>
      <c r="AM56" s="43">
        <f t="shared" si="10"/>
        <v>2875382900.6860857</v>
      </c>
      <c r="AN56" s="43">
        <f t="shared" si="11"/>
        <v>2898382900.6860857</v>
      </c>
      <c r="AO56" s="43">
        <f t="shared" si="12"/>
        <v>11190531602.744343</v>
      </c>
      <c r="AR56" s="40">
        <v>40622</v>
      </c>
      <c r="AS56" s="63">
        <v>0</v>
      </c>
      <c r="AT56" s="63">
        <v>0</v>
      </c>
      <c r="AU56" s="63">
        <v>0</v>
      </c>
      <c r="AV56" s="63">
        <v>0</v>
      </c>
      <c r="AW56" s="63">
        <v>0</v>
      </c>
      <c r="AX56" s="63">
        <v>0</v>
      </c>
      <c r="AY56" s="63">
        <v>0</v>
      </c>
      <c r="AZ56" s="63">
        <v>0</v>
      </c>
      <c r="BA56" s="63">
        <v>0</v>
      </c>
      <c r="BB56" s="63">
        <v>0</v>
      </c>
      <c r="BC56" s="63">
        <v>0</v>
      </c>
      <c r="BD56" s="63">
        <v>0</v>
      </c>
      <c r="BE56" s="63">
        <v>0</v>
      </c>
      <c r="BF56" s="63">
        <v>0</v>
      </c>
      <c r="BG56" s="63">
        <v>0</v>
      </c>
      <c r="BH56" s="63">
        <v>0</v>
      </c>
      <c r="BJ56" s="40">
        <v>40622</v>
      </c>
      <c r="BK56" s="43">
        <f t="shared" si="13"/>
        <v>0</v>
      </c>
      <c r="BL56" s="43">
        <f t="shared" si="14"/>
        <v>0</v>
      </c>
      <c r="BM56" s="43">
        <f t="shared" si="15"/>
        <v>0</v>
      </c>
      <c r="BN56" s="43">
        <f t="shared" si="16"/>
        <v>0</v>
      </c>
      <c r="BO56" s="43">
        <f t="shared" si="17"/>
        <v>0</v>
      </c>
      <c r="BP56" s="43">
        <f t="shared" si="18"/>
        <v>0</v>
      </c>
      <c r="BQ56" s="43">
        <f t="shared" si="19"/>
        <v>0</v>
      </c>
      <c r="BR56" s="43">
        <f t="shared" si="20"/>
        <v>0</v>
      </c>
      <c r="BS56" s="43">
        <f t="shared" si="21"/>
        <v>0</v>
      </c>
      <c r="BT56" s="43">
        <f t="shared" si="22"/>
        <v>0</v>
      </c>
      <c r="BU56" s="43">
        <f t="shared" si="23"/>
        <v>0</v>
      </c>
      <c r="BV56" s="43">
        <f t="shared" si="24"/>
        <v>0</v>
      </c>
      <c r="BW56" s="43">
        <f t="shared" si="25"/>
        <v>0</v>
      </c>
      <c r="BX56" s="43">
        <f t="shared" si="26"/>
        <v>0</v>
      </c>
      <c r="BY56" s="43">
        <f t="shared" si="27"/>
        <v>0</v>
      </c>
      <c r="BZ56" s="43">
        <f t="shared" si="28"/>
        <v>0</v>
      </c>
      <c r="CA56" s="40">
        <v>40622</v>
      </c>
      <c r="CB56" s="43">
        <f t="shared" si="82"/>
        <v>0</v>
      </c>
      <c r="CC56" s="43">
        <f t="shared" si="82"/>
        <v>0</v>
      </c>
      <c r="CD56" s="43">
        <f t="shared" si="82"/>
        <v>0</v>
      </c>
      <c r="CE56" s="43">
        <f t="shared" si="82"/>
        <v>0</v>
      </c>
      <c r="CF56" s="43">
        <f t="shared" si="82"/>
        <v>0</v>
      </c>
      <c r="CG56" s="43">
        <f t="shared" si="82"/>
        <v>0</v>
      </c>
      <c r="CH56" s="43">
        <f t="shared" si="82"/>
        <v>0</v>
      </c>
      <c r="CI56" s="43">
        <f t="shared" si="82"/>
        <v>0</v>
      </c>
      <c r="CJ56" s="43">
        <f t="shared" si="82"/>
        <v>0</v>
      </c>
      <c r="CK56" s="43">
        <f t="shared" si="82"/>
        <v>0</v>
      </c>
      <c r="CL56" s="43">
        <f t="shared" si="82"/>
        <v>0</v>
      </c>
      <c r="CM56" s="43">
        <f t="shared" si="82"/>
        <v>0</v>
      </c>
      <c r="CN56" s="43">
        <f t="shared" si="82"/>
        <v>0</v>
      </c>
      <c r="CO56" s="43">
        <f t="shared" si="82"/>
        <v>0</v>
      </c>
      <c r="CP56" s="43">
        <f t="shared" si="82"/>
        <v>0</v>
      </c>
      <c r="CQ56" s="43">
        <f t="shared" si="61"/>
        <v>0</v>
      </c>
      <c r="CR56" s="64">
        <f t="shared" si="45"/>
        <v>0</v>
      </c>
      <c r="CT56" s="40">
        <v>40622</v>
      </c>
      <c r="CU56" s="71">
        <f>+CU$3-SUM(AS$4:AS56)</f>
        <v>0</v>
      </c>
      <c r="CV56" s="71">
        <f>+CV$3-SUM(AT$4:AT56)</f>
        <v>1.0000050067901611E-2</v>
      </c>
      <c r="CW56" s="71">
        <f>+CW$3-SUM(AU$4:AU56)</f>
        <v>0</v>
      </c>
      <c r="CX56" s="71">
        <f>+CX$3-SUM(AV$4:AV56)</f>
        <v>0</v>
      </c>
      <c r="CY56" s="71">
        <f>+CY$3-SUM(AW$4:AW56)</f>
        <v>1169882900.6799998</v>
      </c>
      <c r="CZ56" s="71">
        <f>+CZ$3-SUM(AX$4:AX56)</f>
        <v>1038500000</v>
      </c>
      <c r="DA56" s="71">
        <f>+DA$3-SUM(AY$4:AY56)</f>
        <v>500000000</v>
      </c>
      <c r="DB56" s="71">
        <f>+DB$3-SUM(AZ$4:AZ56)</f>
        <v>0</v>
      </c>
      <c r="DC56" s="71">
        <f>+DC$3-SUM(BA$4:BA56)</f>
        <v>167000000</v>
      </c>
      <c r="DD56" s="71">
        <f>+DD$3-SUM(BB$4:BB56)</f>
        <v>23000000</v>
      </c>
      <c r="DE56" s="71">
        <f>+DE$3-SUM(BC$4:BC56)</f>
        <v>0</v>
      </c>
      <c r="DF56" s="71">
        <f>+DF$3-SUM(BD$4:BD56)</f>
        <v>91000000</v>
      </c>
      <c r="DG56" s="71">
        <f>+DG$3-SUM(BE$4:BE56)</f>
        <v>56000000</v>
      </c>
      <c r="DH56" s="71">
        <f>+DH$3-SUM(BF$4:BF56)</f>
        <v>70000000</v>
      </c>
      <c r="DI56" s="71">
        <f>+DI$3-SUM(BG$4:BG56)</f>
        <v>211000000.00000003</v>
      </c>
      <c r="DJ56" s="71">
        <f>+DJ$3-SUM(BH$4:BH56)</f>
        <v>20000000</v>
      </c>
    </row>
    <row r="57" spans="1:114">
      <c r="A57" s="75">
        <v>40653</v>
      </c>
      <c r="B57" s="76">
        <f t="shared" si="79"/>
        <v>0</v>
      </c>
      <c r="C57" s="76">
        <f t="shared" si="81"/>
        <v>0</v>
      </c>
      <c r="D57" s="76">
        <f t="shared" si="81"/>
        <v>0</v>
      </c>
      <c r="E57" s="76">
        <f t="shared" si="81"/>
        <v>0</v>
      </c>
      <c r="F57" s="76">
        <f t="shared" si="81"/>
        <v>1169882900.6860857</v>
      </c>
      <c r="G57" s="76">
        <f t="shared" si="81"/>
        <v>1038500000</v>
      </c>
      <c r="H57" s="76">
        <f t="shared" si="81"/>
        <v>500000000</v>
      </c>
      <c r="I57" s="76">
        <f t="shared" si="81"/>
        <v>0</v>
      </c>
      <c r="J57" s="76">
        <f t="shared" si="81"/>
        <v>167000000</v>
      </c>
      <c r="K57" s="76">
        <f t="shared" si="81"/>
        <v>23000000</v>
      </c>
      <c r="L57" s="76">
        <f t="shared" si="81"/>
        <v>0</v>
      </c>
      <c r="M57" s="76">
        <f t="shared" si="81"/>
        <v>91000000</v>
      </c>
      <c r="N57" s="76">
        <f t="shared" si="81"/>
        <v>56000000</v>
      </c>
      <c r="O57" s="76">
        <f t="shared" si="81"/>
        <v>70000000</v>
      </c>
      <c r="P57" s="76">
        <f t="shared" si="81"/>
        <v>211000000.00000003</v>
      </c>
      <c r="Q57" s="76">
        <f t="shared" si="81"/>
        <v>20000000</v>
      </c>
      <c r="S57" s="40">
        <v>40653</v>
      </c>
      <c r="T57" s="82">
        <f t="shared" si="47"/>
        <v>0</v>
      </c>
      <c r="U57" s="82">
        <f t="shared" si="62"/>
        <v>0</v>
      </c>
      <c r="V57" s="82">
        <f t="shared" si="63"/>
        <v>0</v>
      </c>
      <c r="W57" s="82">
        <f t="shared" si="64"/>
        <v>0</v>
      </c>
      <c r="X57" s="82">
        <f t="shared" si="65"/>
        <v>0</v>
      </c>
      <c r="Y57" s="82">
        <f t="shared" si="66"/>
        <v>0</v>
      </c>
      <c r="Z57" s="82">
        <f t="shared" si="67"/>
        <v>0</v>
      </c>
      <c r="AA57" s="82">
        <f t="shared" si="68"/>
        <v>0</v>
      </c>
      <c r="AB57" s="82">
        <f t="shared" si="69"/>
        <v>0</v>
      </c>
      <c r="AC57" s="82">
        <f t="shared" si="70"/>
        <v>0</v>
      </c>
      <c r="AD57" s="82">
        <f t="shared" si="71"/>
        <v>0</v>
      </c>
      <c r="AE57" s="82">
        <f t="shared" si="72"/>
        <v>0</v>
      </c>
      <c r="AF57" s="82">
        <f t="shared" si="73"/>
        <v>0</v>
      </c>
      <c r="AG57" s="82">
        <f t="shared" si="74"/>
        <v>0</v>
      </c>
      <c r="AH57" s="82">
        <f t="shared" si="75"/>
        <v>0</v>
      </c>
      <c r="AI57" s="82">
        <f t="shared" si="76"/>
        <v>0</v>
      </c>
      <c r="AJ57" s="40">
        <v>40653</v>
      </c>
      <c r="AK57" s="187">
        <f t="shared" si="8"/>
        <v>2708382900.6860857</v>
      </c>
      <c r="AL57" s="43">
        <f t="shared" si="9"/>
        <v>2708382900.6860857</v>
      </c>
      <c r="AM57" s="43">
        <f t="shared" si="10"/>
        <v>2875382900.6860857</v>
      </c>
      <c r="AN57" s="43">
        <f t="shared" si="11"/>
        <v>2898382900.6860857</v>
      </c>
      <c r="AO57" s="43">
        <f t="shared" si="12"/>
        <v>11190531602.744343</v>
      </c>
      <c r="AR57" s="40">
        <v>40653</v>
      </c>
      <c r="AS57" s="63">
        <v>0</v>
      </c>
      <c r="AT57" s="63">
        <v>0</v>
      </c>
      <c r="AU57" s="63">
        <v>0</v>
      </c>
      <c r="AV57" s="63">
        <v>0</v>
      </c>
      <c r="AW57" s="63">
        <v>0</v>
      </c>
      <c r="AX57" s="63">
        <v>0</v>
      </c>
      <c r="AY57" s="63">
        <v>0</v>
      </c>
      <c r="AZ57" s="63">
        <v>0</v>
      </c>
      <c r="BA57" s="63">
        <v>0</v>
      </c>
      <c r="BB57" s="63">
        <v>0</v>
      </c>
      <c r="BC57" s="63">
        <v>0</v>
      </c>
      <c r="BD57" s="63">
        <v>0</v>
      </c>
      <c r="BE57" s="63">
        <v>0</v>
      </c>
      <c r="BF57" s="63">
        <v>0</v>
      </c>
      <c r="BG57" s="63">
        <v>0</v>
      </c>
      <c r="BH57" s="63">
        <v>0</v>
      </c>
      <c r="BJ57" s="40">
        <v>40653</v>
      </c>
      <c r="BK57" s="43">
        <f t="shared" si="13"/>
        <v>0</v>
      </c>
      <c r="BL57" s="43">
        <f t="shared" si="14"/>
        <v>0</v>
      </c>
      <c r="BM57" s="43">
        <f t="shared" si="15"/>
        <v>0</v>
      </c>
      <c r="BN57" s="43">
        <f t="shared" si="16"/>
        <v>0</v>
      </c>
      <c r="BO57" s="43">
        <f t="shared" si="17"/>
        <v>0</v>
      </c>
      <c r="BP57" s="43">
        <f t="shared" si="18"/>
        <v>0</v>
      </c>
      <c r="BQ57" s="43">
        <f t="shared" si="19"/>
        <v>0</v>
      </c>
      <c r="BR57" s="43">
        <f t="shared" si="20"/>
        <v>0</v>
      </c>
      <c r="BS57" s="43">
        <f t="shared" si="21"/>
        <v>0</v>
      </c>
      <c r="BT57" s="43">
        <f t="shared" si="22"/>
        <v>0</v>
      </c>
      <c r="BU57" s="43">
        <f t="shared" si="23"/>
        <v>0</v>
      </c>
      <c r="BV57" s="43">
        <f t="shared" si="24"/>
        <v>0</v>
      </c>
      <c r="BW57" s="43">
        <f t="shared" si="25"/>
        <v>0</v>
      </c>
      <c r="BX57" s="43">
        <f t="shared" si="26"/>
        <v>0</v>
      </c>
      <c r="BY57" s="43">
        <f t="shared" si="27"/>
        <v>0</v>
      </c>
      <c r="BZ57" s="43">
        <f t="shared" si="28"/>
        <v>0</v>
      </c>
      <c r="CA57" s="40">
        <v>40653</v>
      </c>
      <c r="CB57" s="43">
        <f t="shared" si="82"/>
        <v>0</v>
      </c>
      <c r="CC57" s="43">
        <f t="shared" si="82"/>
        <v>0</v>
      </c>
      <c r="CD57" s="43">
        <f t="shared" si="82"/>
        <v>0</v>
      </c>
      <c r="CE57" s="43">
        <f t="shared" si="82"/>
        <v>0</v>
      </c>
      <c r="CF57" s="43">
        <f t="shared" si="82"/>
        <v>0</v>
      </c>
      <c r="CG57" s="43">
        <f t="shared" si="82"/>
        <v>0</v>
      </c>
      <c r="CH57" s="43">
        <f t="shared" si="82"/>
        <v>0</v>
      </c>
      <c r="CI57" s="43">
        <f t="shared" si="82"/>
        <v>0</v>
      </c>
      <c r="CJ57" s="43">
        <f t="shared" si="82"/>
        <v>0</v>
      </c>
      <c r="CK57" s="43">
        <f t="shared" si="82"/>
        <v>0</v>
      </c>
      <c r="CL57" s="43">
        <f t="shared" si="82"/>
        <v>0</v>
      </c>
      <c r="CM57" s="43">
        <f t="shared" si="82"/>
        <v>0</v>
      </c>
      <c r="CN57" s="43">
        <f t="shared" si="82"/>
        <v>0</v>
      </c>
      <c r="CO57" s="43">
        <f t="shared" si="82"/>
        <v>0</v>
      </c>
      <c r="CP57" s="43">
        <f t="shared" si="82"/>
        <v>0</v>
      </c>
      <c r="CQ57" s="43">
        <f t="shared" si="61"/>
        <v>0</v>
      </c>
      <c r="CR57" s="64">
        <f t="shared" si="45"/>
        <v>0</v>
      </c>
      <c r="CT57" s="40">
        <v>40653</v>
      </c>
      <c r="CU57" s="71">
        <f>+CU$3-SUM(AS$4:AS57)</f>
        <v>0</v>
      </c>
      <c r="CV57" s="71">
        <f>+CV$3-SUM(AT$4:AT57)</f>
        <v>1.0000050067901611E-2</v>
      </c>
      <c r="CW57" s="71">
        <f>+CW$3-SUM(AU$4:AU57)</f>
        <v>0</v>
      </c>
      <c r="CX57" s="71">
        <f>+CX$3-SUM(AV$4:AV57)</f>
        <v>0</v>
      </c>
      <c r="CY57" s="71">
        <f>+CY$3-SUM(AW$4:AW57)</f>
        <v>1169882900.6799998</v>
      </c>
      <c r="CZ57" s="71">
        <f>+CZ$3-SUM(AX$4:AX57)</f>
        <v>1038500000</v>
      </c>
      <c r="DA57" s="71">
        <f>+DA$3-SUM(AY$4:AY57)</f>
        <v>500000000</v>
      </c>
      <c r="DB57" s="71">
        <f>+DB$3-SUM(AZ$4:AZ57)</f>
        <v>0</v>
      </c>
      <c r="DC57" s="71">
        <f>+DC$3-SUM(BA$4:BA57)</f>
        <v>167000000</v>
      </c>
      <c r="DD57" s="71">
        <f>+DD$3-SUM(BB$4:BB57)</f>
        <v>23000000</v>
      </c>
      <c r="DE57" s="71">
        <f>+DE$3-SUM(BC$4:BC57)</f>
        <v>0</v>
      </c>
      <c r="DF57" s="71">
        <f>+DF$3-SUM(BD$4:BD57)</f>
        <v>91000000</v>
      </c>
      <c r="DG57" s="71">
        <f>+DG$3-SUM(BE$4:BE57)</f>
        <v>56000000</v>
      </c>
      <c r="DH57" s="71">
        <f>+DH$3-SUM(BF$4:BF57)</f>
        <v>70000000</v>
      </c>
      <c r="DI57" s="71">
        <f>+DI$3-SUM(BG$4:BG57)</f>
        <v>211000000.00000003</v>
      </c>
      <c r="DJ57" s="71">
        <f>+DJ$3-SUM(BH$4:BH57)</f>
        <v>20000000</v>
      </c>
    </row>
    <row r="58" spans="1:114">
      <c r="A58" s="75">
        <v>40683</v>
      </c>
      <c r="B58" s="76">
        <f t="shared" si="79"/>
        <v>0</v>
      </c>
      <c r="C58" s="76">
        <f t="shared" si="81"/>
        <v>0</v>
      </c>
      <c r="D58" s="76">
        <f t="shared" si="81"/>
        <v>0</v>
      </c>
      <c r="E58" s="76">
        <f t="shared" si="81"/>
        <v>0</v>
      </c>
      <c r="F58" s="76">
        <f t="shared" si="81"/>
        <v>985364578.15093994</v>
      </c>
      <c r="G58" s="76">
        <f t="shared" si="81"/>
        <v>1038500000</v>
      </c>
      <c r="H58" s="76">
        <f t="shared" si="81"/>
        <v>500000000</v>
      </c>
      <c r="I58" s="76">
        <f t="shared" si="81"/>
        <v>0</v>
      </c>
      <c r="J58" s="76">
        <f t="shared" si="81"/>
        <v>167000000</v>
      </c>
      <c r="K58" s="76">
        <f t="shared" si="81"/>
        <v>23000000</v>
      </c>
      <c r="L58" s="76">
        <f t="shared" si="81"/>
        <v>0</v>
      </c>
      <c r="M58" s="76">
        <f t="shared" si="81"/>
        <v>91000000</v>
      </c>
      <c r="N58" s="76">
        <f t="shared" si="81"/>
        <v>56000000</v>
      </c>
      <c r="O58" s="76">
        <f t="shared" si="81"/>
        <v>70000000</v>
      </c>
      <c r="P58" s="76">
        <f t="shared" si="81"/>
        <v>211000000.00000003</v>
      </c>
      <c r="Q58" s="76">
        <f t="shared" si="81"/>
        <v>20000000</v>
      </c>
      <c r="S58" s="588">
        <v>40683</v>
      </c>
      <c r="T58" s="589">
        <f t="shared" si="47"/>
        <v>0</v>
      </c>
      <c r="U58" s="589">
        <f t="shared" si="62"/>
        <v>0</v>
      </c>
      <c r="V58" s="589">
        <f t="shared" si="63"/>
        <v>0</v>
      </c>
      <c r="W58" s="589">
        <f t="shared" si="64"/>
        <v>0</v>
      </c>
      <c r="X58" s="589">
        <f t="shared" si="65"/>
        <v>184518322.53999999</v>
      </c>
      <c r="Y58" s="589">
        <f t="shared" si="66"/>
        <v>0</v>
      </c>
      <c r="Z58" s="589">
        <f t="shared" si="67"/>
        <v>0</v>
      </c>
      <c r="AA58" s="589">
        <f t="shared" si="68"/>
        <v>0</v>
      </c>
      <c r="AB58" s="589">
        <f t="shared" si="69"/>
        <v>0</v>
      </c>
      <c r="AC58" s="589">
        <f t="shared" si="70"/>
        <v>0</v>
      </c>
      <c r="AD58" s="589">
        <f t="shared" si="71"/>
        <v>0</v>
      </c>
      <c r="AE58" s="589">
        <f t="shared" si="72"/>
        <v>0</v>
      </c>
      <c r="AF58" s="589">
        <f t="shared" si="73"/>
        <v>0</v>
      </c>
      <c r="AG58" s="589">
        <f t="shared" si="74"/>
        <v>0</v>
      </c>
      <c r="AH58" s="589">
        <f t="shared" si="75"/>
        <v>0</v>
      </c>
      <c r="AI58" s="589">
        <f t="shared" si="76"/>
        <v>0</v>
      </c>
      <c r="AJ58" s="40">
        <v>40683</v>
      </c>
      <c r="AK58" s="187">
        <f t="shared" si="8"/>
        <v>2523864578.1509399</v>
      </c>
      <c r="AL58" s="43">
        <f t="shared" si="9"/>
        <v>2523864578.1509399</v>
      </c>
      <c r="AM58" s="43">
        <f t="shared" si="10"/>
        <v>2690864578.1509399</v>
      </c>
      <c r="AN58" s="43">
        <f t="shared" si="11"/>
        <v>2713864578.1509399</v>
      </c>
      <c r="AO58" s="43">
        <f t="shared" si="12"/>
        <v>10452458312.60376</v>
      </c>
      <c r="AR58" s="40">
        <v>40683</v>
      </c>
      <c r="AS58" s="63">
        <v>0</v>
      </c>
      <c r="AT58" s="63">
        <v>0</v>
      </c>
      <c r="AU58" s="63">
        <v>0</v>
      </c>
      <c r="AV58" s="63">
        <v>0</v>
      </c>
      <c r="AW58" s="85">
        <v>184518322.53999999</v>
      </c>
      <c r="AX58" s="63">
        <v>0</v>
      </c>
      <c r="AY58" s="63">
        <v>0</v>
      </c>
      <c r="AZ58" s="63">
        <v>0</v>
      </c>
      <c r="BA58" s="63">
        <v>0</v>
      </c>
      <c r="BB58" s="63">
        <v>0</v>
      </c>
      <c r="BC58" s="63">
        <v>0</v>
      </c>
      <c r="BD58" s="63">
        <v>0</v>
      </c>
      <c r="BE58" s="63">
        <v>0</v>
      </c>
      <c r="BF58" s="63">
        <v>0</v>
      </c>
      <c r="BG58" s="63">
        <v>0</v>
      </c>
      <c r="BH58" s="63">
        <v>0</v>
      </c>
      <c r="BJ58" s="40">
        <v>40683</v>
      </c>
      <c r="BK58" s="43">
        <f t="shared" si="13"/>
        <v>0</v>
      </c>
      <c r="BL58" s="43">
        <f t="shared" si="14"/>
        <v>0</v>
      </c>
      <c r="BM58" s="43">
        <f t="shared" si="15"/>
        <v>0</v>
      </c>
      <c r="BN58" s="43">
        <f t="shared" si="16"/>
        <v>0</v>
      </c>
      <c r="BO58" s="43">
        <f t="shared" si="17"/>
        <v>0</v>
      </c>
      <c r="BP58" s="43">
        <f t="shared" si="18"/>
        <v>0</v>
      </c>
      <c r="BQ58" s="43">
        <f t="shared" si="19"/>
        <v>0</v>
      </c>
      <c r="BR58" s="43">
        <f t="shared" si="20"/>
        <v>0</v>
      </c>
      <c r="BS58" s="43">
        <f t="shared" si="21"/>
        <v>0</v>
      </c>
      <c r="BT58" s="43">
        <f t="shared" si="22"/>
        <v>0</v>
      </c>
      <c r="BU58" s="43">
        <f t="shared" si="23"/>
        <v>0</v>
      </c>
      <c r="BV58" s="43">
        <f t="shared" si="24"/>
        <v>0</v>
      </c>
      <c r="BW58" s="43">
        <f t="shared" si="25"/>
        <v>0</v>
      </c>
      <c r="BX58" s="43">
        <f t="shared" si="26"/>
        <v>0</v>
      </c>
      <c r="BY58" s="43">
        <f t="shared" si="27"/>
        <v>0</v>
      </c>
      <c r="BZ58" s="43">
        <f t="shared" si="28"/>
        <v>0</v>
      </c>
      <c r="CA58" s="40">
        <v>40683</v>
      </c>
      <c r="CB58" s="43">
        <f t="shared" si="82"/>
        <v>0</v>
      </c>
      <c r="CC58" s="43">
        <f t="shared" si="82"/>
        <v>0</v>
      </c>
      <c r="CD58" s="43">
        <f t="shared" si="82"/>
        <v>0</v>
      </c>
      <c r="CE58" s="43">
        <f t="shared" si="82"/>
        <v>0</v>
      </c>
      <c r="CF58" s="43">
        <f t="shared" si="82"/>
        <v>0</v>
      </c>
      <c r="CG58" s="43">
        <f t="shared" si="82"/>
        <v>0</v>
      </c>
      <c r="CH58" s="43">
        <f t="shared" si="82"/>
        <v>0</v>
      </c>
      <c r="CI58" s="43">
        <f t="shared" si="82"/>
        <v>0</v>
      </c>
      <c r="CJ58" s="43">
        <f t="shared" si="82"/>
        <v>0</v>
      </c>
      <c r="CK58" s="43">
        <f t="shared" si="82"/>
        <v>0</v>
      </c>
      <c r="CL58" s="43">
        <f t="shared" si="82"/>
        <v>0</v>
      </c>
      <c r="CM58" s="43">
        <f t="shared" si="82"/>
        <v>0</v>
      </c>
      <c r="CN58" s="43">
        <f t="shared" si="82"/>
        <v>0</v>
      </c>
      <c r="CO58" s="43">
        <f t="shared" si="82"/>
        <v>0</v>
      </c>
      <c r="CP58" s="43">
        <f t="shared" si="82"/>
        <v>0</v>
      </c>
      <c r="CQ58" s="43">
        <f t="shared" si="61"/>
        <v>0</v>
      </c>
      <c r="CR58" s="64">
        <f t="shared" si="45"/>
        <v>0</v>
      </c>
      <c r="CT58" s="40">
        <v>40683</v>
      </c>
      <c r="CU58" s="71">
        <f>+CU$3-SUM(AS$4:AS58)</f>
        <v>0</v>
      </c>
      <c r="CV58" s="71">
        <f>+CV$3-SUM(AT$4:AT58)</f>
        <v>1.0000050067901611E-2</v>
      </c>
      <c r="CW58" s="71">
        <f>+CW$3-SUM(AU$4:AU58)</f>
        <v>0</v>
      </c>
      <c r="CX58" s="71">
        <f>+CX$3-SUM(AV$4:AV58)</f>
        <v>0</v>
      </c>
      <c r="CY58" s="71">
        <f>+CY$3-SUM(AW$4:AW58)</f>
        <v>985364578.13999975</v>
      </c>
      <c r="CZ58" s="71">
        <f>+CZ$3-SUM(AX$4:AX58)</f>
        <v>1038500000</v>
      </c>
      <c r="DA58" s="71">
        <f>+DA$3-SUM(AY$4:AY58)</f>
        <v>500000000</v>
      </c>
      <c r="DB58" s="71">
        <f>+DB$3-SUM(AZ$4:AZ58)</f>
        <v>0</v>
      </c>
      <c r="DC58" s="71">
        <f>+DC$3-SUM(BA$4:BA58)</f>
        <v>167000000</v>
      </c>
      <c r="DD58" s="71">
        <f>+DD$3-SUM(BB$4:BB58)</f>
        <v>23000000</v>
      </c>
      <c r="DE58" s="71">
        <f>+DE$3-SUM(BC$4:BC58)</f>
        <v>0</v>
      </c>
      <c r="DF58" s="71">
        <f>+DF$3-SUM(BD$4:BD58)</f>
        <v>91000000</v>
      </c>
      <c r="DG58" s="71">
        <f>+DG$3-SUM(BE$4:BE58)</f>
        <v>56000000</v>
      </c>
      <c r="DH58" s="71">
        <f>+DH$3-SUM(BF$4:BF58)</f>
        <v>70000000</v>
      </c>
      <c r="DI58" s="71">
        <f>+DI$3-SUM(BG$4:BG58)</f>
        <v>211000000.00000003</v>
      </c>
      <c r="DJ58" s="71">
        <f>+DJ$3-SUM(BH$4:BH58)</f>
        <v>20000000</v>
      </c>
    </row>
    <row r="59" spans="1:114">
      <c r="A59" s="75">
        <v>40714</v>
      </c>
      <c r="B59" s="76">
        <f t="shared" si="79"/>
        <v>0</v>
      </c>
      <c r="C59" s="76">
        <f t="shared" si="81"/>
        <v>0</v>
      </c>
      <c r="D59" s="76">
        <f t="shared" si="81"/>
        <v>0</v>
      </c>
      <c r="E59" s="76">
        <f t="shared" si="81"/>
        <v>0</v>
      </c>
      <c r="F59" s="76">
        <f t="shared" si="81"/>
        <v>985364578.15093994</v>
      </c>
      <c r="G59" s="76">
        <f t="shared" si="81"/>
        <v>1038500000</v>
      </c>
      <c r="H59" s="76">
        <f t="shared" si="81"/>
        <v>500000000</v>
      </c>
      <c r="I59" s="76">
        <f t="shared" si="81"/>
        <v>0</v>
      </c>
      <c r="J59" s="76">
        <f t="shared" si="81"/>
        <v>167000000</v>
      </c>
      <c r="K59" s="76">
        <f t="shared" si="81"/>
        <v>23000000</v>
      </c>
      <c r="L59" s="76">
        <f t="shared" si="81"/>
        <v>0</v>
      </c>
      <c r="M59" s="76">
        <f t="shared" si="81"/>
        <v>91000000</v>
      </c>
      <c r="N59" s="76">
        <f t="shared" si="81"/>
        <v>56000000</v>
      </c>
      <c r="O59" s="76">
        <f t="shared" si="81"/>
        <v>70000000</v>
      </c>
      <c r="P59" s="76">
        <f t="shared" si="81"/>
        <v>211000000.00000003</v>
      </c>
      <c r="Q59" s="76">
        <f t="shared" si="81"/>
        <v>20000000</v>
      </c>
      <c r="S59" s="40">
        <v>40714</v>
      </c>
      <c r="T59" s="82">
        <f t="shared" si="47"/>
        <v>0</v>
      </c>
      <c r="U59" s="82">
        <f t="shared" si="62"/>
        <v>0</v>
      </c>
      <c r="V59" s="82">
        <f t="shared" si="63"/>
        <v>0</v>
      </c>
      <c r="W59" s="82">
        <f t="shared" si="64"/>
        <v>0</v>
      </c>
      <c r="X59" s="82">
        <f t="shared" si="65"/>
        <v>0</v>
      </c>
      <c r="Y59" s="82">
        <f t="shared" si="66"/>
        <v>0</v>
      </c>
      <c r="Z59" s="82">
        <f t="shared" si="67"/>
        <v>0</v>
      </c>
      <c r="AA59" s="82">
        <f t="shared" si="68"/>
        <v>0</v>
      </c>
      <c r="AB59" s="82">
        <f t="shared" si="69"/>
        <v>0</v>
      </c>
      <c r="AC59" s="82">
        <f t="shared" si="70"/>
        <v>0</v>
      </c>
      <c r="AD59" s="82">
        <f t="shared" si="71"/>
        <v>0</v>
      </c>
      <c r="AE59" s="82">
        <f t="shared" si="72"/>
        <v>0</v>
      </c>
      <c r="AF59" s="82">
        <f t="shared" si="73"/>
        <v>0</v>
      </c>
      <c r="AG59" s="82">
        <f t="shared" si="74"/>
        <v>0</v>
      </c>
      <c r="AH59" s="82">
        <f t="shared" si="75"/>
        <v>0</v>
      </c>
      <c r="AI59" s="82">
        <f t="shared" si="76"/>
        <v>0</v>
      </c>
      <c r="AJ59" s="40">
        <v>40714</v>
      </c>
      <c r="AK59" s="187">
        <f t="shared" si="8"/>
        <v>2523864578.1509399</v>
      </c>
      <c r="AL59" s="43">
        <f t="shared" si="9"/>
        <v>2523864578.1509399</v>
      </c>
      <c r="AM59" s="43">
        <f t="shared" si="10"/>
        <v>2690864578.1509399</v>
      </c>
      <c r="AN59" s="43">
        <f t="shared" si="11"/>
        <v>2713864578.1509399</v>
      </c>
      <c r="AO59" s="43">
        <f t="shared" si="12"/>
        <v>10452458312.60376</v>
      </c>
      <c r="AR59" s="40">
        <v>40714</v>
      </c>
      <c r="AS59" s="63">
        <v>0</v>
      </c>
      <c r="AT59" s="63">
        <v>0</v>
      </c>
      <c r="AU59" s="63">
        <v>0</v>
      </c>
      <c r="AV59" s="63">
        <v>0</v>
      </c>
      <c r="AW59" s="63">
        <v>0</v>
      </c>
      <c r="AX59" s="63">
        <v>0</v>
      </c>
      <c r="AY59" s="63">
        <v>0</v>
      </c>
      <c r="AZ59" s="63">
        <v>0</v>
      </c>
      <c r="BA59" s="63">
        <v>0</v>
      </c>
      <c r="BB59" s="63">
        <v>0</v>
      </c>
      <c r="BC59" s="63">
        <v>0</v>
      </c>
      <c r="BD59" s="63">
        <v>0</v>
      </c>
      <c r="BE59" s="63">
        <v>0</v>
      </c>
      <c r="BF59" s="63">
        <v>0</v>
      </c>
      <c r="BG59" s="63">
        <v>0</v>
      </c>
      <c r="BH59" s="63">
        <v>0</v>
      </c>
      <c r="BJ59" s="40">
        <v>40714</v>
      </c>
      <c r="BK59" s="43">
        <f t="shared" si="13"/>
        <v>0</v>
      </c>
      <c r="BL59" s="43">
        <f t="shared" si="14"/>
        <v>0</v>
      </c>
      <c r="BM59" s="43">
        <f t="shared" si="15"/>
        <v>0</v>
      </c>
      <c r="BN59" s="43">
        <f t="shared" si="16"/>
        <v>0</v>
      </c>
      <c r="BO59" s="43">
        <f t="shared" si="17"/>
        <v>0</v>
      </c>
      <c r="BP59" s="43">
        <f t="shared" si="18"/>
        <v>0</v>
      </c>
      <c r="BQ59" s="43">
        <f t="shared" si="19"/>
        <v>0</v>
      </c>
      <c r="BR59" s="43">
        <f t="shared" si="20"/>
        <v>0</v>
      </c>
      <c r="BS59" s="43">
        <f t="shared" si="21"/>
        <v>0</v>
      </c>
      <c r="BT59" s="43">
        <f t="shared" si="22"/>
        <v>0</v>
      </c>
      <c r="BU59" s="43">
        <f t="shared" si="23"/>
        <v>0</v>
      </c>
      <c r="BV59" s="43">
        <f t="shared" si="24"/>
        <v>0</v>
      </c>
      <c r="BW59" s="43">
        <f t="shared" si="25"/>
        <v>0</v>
      </c>
      <c r="BX59" s="43">
        <f t="shared" si="26"/>
        <v>0</v>
      </c>
      <c r="BY59" s="43">
        <f t="shared" si="27"/>
        <v>0</v>
      </c>
      <c r="BZ59" s="43">
        <f t="shared" si="28"/>
        <v>0</v>
      </c>
      <c r="CA59" s="40">
        <v>40714</v>
      </c>
      <c r="CB59" s="43">
        <f t="shared" si="82"/>
        <v>0</v>
      </c>
      <c r="CC59" s="43">
        <f t="shared" si="82"/>
        <v>0</v>
      </c>
      <c r="CD59" s="43">
        <f t="shared" si="82"/>
        <v>0</v>
      </c>
      <c r="CE59" s="43">
        <f t="shared" si="82"/>
        <v>0</v>
      </c>
      <c r="CF59" s="43">
        <f t="shared" si="82"/>
        <v>0</v>
      </c>
      <c r="CG59" s="43">
        <f t="shared" si="82"/>
        <v>0</v>
      </c>
      <c r="CH59" s="43">
        <f t="shared" si="82"/>
        <v>0</v>
      </c>
      <c r="CI59" s="43">
        <f t="shared" si="82"/>
        <v>0</v>
      </c>
      <c r="CJ59" s="43">
        <f t="shared" si="82"/>
        <v>0</v>
      </c>
      <c r="CK59" s="43">
        <f t="shared" si="82"/>
        <v>0</v>
      </c>
      <c r="CL59" s="43">
        <f t="shared" si="82"/>
        <v>0</v>
      </c>
      <c r="CM59" s="43">
        <f t="shared" si="82"/>
        <v>0</v>
      </c>
      <c r="CN59" s="43">
        <f t="shared" si="82"/>
        <v>0</v>
      </c>
      <c r="CO59" s="43">
        <f t="shared" si="82"/>
        <v>0</v>
      </c>
      <c r="CP59" s="43">
        <f t="shared" si="82"/>
        <v>0</v>
      </c>
      <c r="CQ59" s="43">
        <f t="shared" si="61"/>
        <v>0</v>
      </c>
      <c r="CR59" s="64">
        <f t="shared" si="45"/>
        <v>0</v>
      </c>
      <c r="CT59" s="40">
        <v>40714</v>
      </c>
      <c r="CU59" s="71">
        <f>+CU$3-SUM(AS$4:AS59)</f>
        <v>0</v>
      </c>
      <c r="CV59" s="71">
        <f>+CV$3-SUM(AT$4:AT59)</f>
        <v>1.0000050067901611E-2</v>
      </c>
      <c r="CW59" s="71">
        <f>+CW$3-SUM(AU$4:AU59)</f>
        <v>0</v>
      </c>
      <c r="CX59" s="71">
        <f>+CX$3-SUM(AV$4:AV59)</f>
        <v>0</v>
      </c>
      <c r="CY59" s="71">
        <f>+CY$3-SUM(AW$4:AW59)</f>
        <v>985364578.13999975</v>
      </c>
      <c r="CZ59" s="71">
        <f>+CZ$3-SUM(AX$4:AX59)</f>
        <v>1038500000</v>
      </c>
      <c r="DA59" s="71">
        <f>+DA$3-SUM(AY$4:AY59)</f>
        <v>500000000</v>
      </c>
      <c r="DB59" s="71">
        <f>+DB$3-SUM(AZ$4:AZ59)</f>
        <v>0</v>
      </c>
      <c r="DC59" s="71">
        <f>+DC$3-SUM(BA$4:BA59)</f>
        <v>167000000</v>
      </c>
      <c r="DD59" s="71">
        <f>+DD$3-SUM(BB$4:BB59)</f>
        <v>23000000</v>
      </c>
      <c r="DE59" s="71">
        <f>+DE$3-SUM(BC$4:BC59)</f>
        <v>0</v>
      </c>
      <c r="DF59" s="71">
        <f>+DF$3-SUM(BD$4:BD59)</f>
        <v>91000000</v>
      </c>
      <c r="DG59" s="71">
        <f>+DG$3-SUM(BE$4:BE59)</f>
        <v>56000000</v>
      </c>
      <c r="DH59" s="71">
        <f>+DH$3-SUM(BF$4:BF59)</f>
        <v>70000000</v>
      </c>
      <c r="DI59" s="71">
        <f>+DI$3-SUM(BG$4:BG59)</f>
        <v>211000000.00000003</v>
      </c>
      <c r="DJ59" s="71">
        <f>+DJ$3-SUM(BH$4:BH59)</f>
        <v>20000000</v>
      </c>
    </row>
    <row r="60" spans="1:114">
      <c r="A60" s="75">
        <v>40744</v>
      </c>
      <c r="B60" s="76">
        <f t="shared" si="79"/>
        <v>0</v>
      </c>
      <c r="C60" s="76">
        <f t="shared" si="81"/>
        <v>0</v>
      </c>
      <c r="D60" s="76">
        <f t="shared" si="81"/>
        <v>0</v>
      </c>
      <c r="E60" s="76">
        <f t="shared" si="81"/>
        <v>0</v>
      </c>
      <c r="F60" s="76">
        <f t="shared" si="81"/>
        <v>985364578.15093994</v>
      </c>
      <c r="G60" s="76">
        <f t="shared" si="81"/>
        <v>1038500000</v>
      </c>
      <c r="H60" s="76">
        <f t="shared" si="81"/>
        <v>500000000</v>
      </c>
      <c r="I60" s="76">
        <f t="shared" si="81"/>
        <v>0</v>
      </c>
      <c r="J60" s="76">
        <f t="shared" si="81"/>
        <v>167000000</v>
      </c>
      <c r="K60" s="76">
        <f t="shared" si="81"/>
        <v>23000000</v>
      </c>
      <c r="L60" s="76">
        <f t="shared" si="81"/>
        <v>0</v>
      </c>
      <c r="M60" s="76">
        <f t="shared" si="81"/>
        <v>91000000</v>
      </c>
      <c r="N60" s="76">
        <f t="shared" si="81"/>
        <v>56000000</v>
      </c>
      <c r="O60" s="76">
        <f t="shared" si="81"/>
        <v>70000000</v>
      </c>
      <c r="P60" s="76">
        <f t="shared" si="81"/>
        <v>211000000.00000003</v>
      </c>
      <c r="Q60" s="76">
        <f t="shared" si="81"/>
        <v>20000000</v>
      </c>
      <c r="S60" s="40">
        <v>40744</v>
      </c>
      <c r="T60" s="82">
        <f t="shared" si="47"/>
        <v>0</v>
      </c>
      <c r="U60" s="82">
        <f t="shared" si="62"/>
        <v>0</v>
      </c>
      <c r="V60" s="82">
        <f t="shared" si="63"/>
        <v>0</v>
      </c>
      <c r="W60" s="82">
        <f t="shared" si="64"/>
        <v>0</v>
      </c>
      <c r="X60" s="82">
        <f t="shared" si="65"/>
        <v>0</v>
      </c>
      <c r="Y60" s="82">
        <f t="shared" si="66"/>
        <v>0</v>
      </c>
      <c r="Z60" s="82">
        <f t="shared" si="67"/>
        <v>0</v>
      </c>
      <c r="AA60" s="82">
        <f t="shared" si="68"/>
        <v>0</v>
      </c>
      <c r="AB60" s="82">
        <f t="shared" si="69"/>
        <v>0</v>
      </c>
      <c r="AC60" s="82">
        <f t="shared" si="70"/>
        <v>0</v>
      </c>
      <c r="AD60" s="82">
        <f t="shared" si="71"/>
        <v>0</v>
      </c>
      <c r="AE60" s="82">
        <f t="shared" si="72"/>
        <v>0</v>
      </c>
      <c r="AF60" s="82">
        <f t="shared" si="73"/>
        <v>0</v>
      </c>
      <c r="AG60" s="82">
        <f t="shared" si="74"/>
        <v>0</v>
      </c>
      <c r="AH60" s="82">
        <f t="shared" si="75"/>
        <v>0</v>
      </c>
      <c r="AI60" s="82">
        <f t="shared" si="76"/>
        <v>0</v>
      </c>
      <c r="AJ60" s="40">
        <v>40744</v>
      </c>
      <c r="AK60" s="187">
        <f t="shared" si="8"/>
        <v>2523864578.1509399</v>
      </c>
      <c r="AL60" s="43">
        <f t="shared" si="9"/>
        <v>2523864578.1509399</v>
      </c>
      <c r="AM60" s="43">
        <f t="shared" si="10"/>
        <v>2690864578.1509399</v>
      </c>
      <c r="AN60" s="43">
        <f t="shared" si="11"/>
        <v>2713864578.1509399</v>
      </c>
      <c r="AO60" s="43">
        <f t="shared" si="12"/>
        <v>10452458312.60376</v>
      </c>
      <c r="AR60" s="40">
        <v>40744</v>
      </c>
      <c r="AS60" s="63">
        <v>0</v>
      </c>
      <c r="AT60" s="63">
        <v>0</v>
      </c>
      <c r="AU60" s="63">
        <v>0</v>
      </c>
      <c r="AV60" s="63">
        <v>0</v>
      </c>
      <c r="AW60" s="63">
        <v>0</v>
      </c>
      <c r="AX60" s="63">
        <v>0</v>
      </c>
      <c r="AY60" s="63">
        <v>0</v>
      </c>
      <c r="AZ60" s="63">
        <v>0</v>
      </c>
      <c r="BA60" s="63">
        <v>0</v>
      </c>
      <c r="BB60" s="63">
        <v>0</v>
      </c>
      <c r="BC60" s="63">
        <v>0</v>
      </c>
      <c r="BD60" s="63">
        <v>0</v>
      </c>
      <c r="BE60" s="63">
        <v>0</v>
      </c>
      <c r="BF60" s="63">
        <v>0</v>
      </c>
      <c r="BG60" s="63">
        <v>0</v>
      </c>
      <c r="BH60" s="63">
        <v>0</v>
      </c>
      <c r="BJ60" s="40">
        <v>40744</v>
      </c>
      <c r="BK60" s="43">
        <f t="shared" si="13"/>
        <v>0</v>
      </c>
      <c r="BL60" s="43">
        <f t="shared" si="14"/>
        <v>0</v>
      </c>
      <c r="BM60" s="43">
        <f t="shared" si="15"/>
        <v>0</v>
      </c>
      <c r="BN60" s="43">
        <f t="shared" si="16"/>
        <v>0</v>
      </c>
      <c r="BO60" s="43">
        <f t="shared" si="17"/>
        <v>0</v>
      </c>
      <c r="BP60" s="43">
        <f t="shared" si="18"/>
        <v>0</v>
      </c>
      <c r="BQ60" s="43">
        <f t="shared" si="19"/>
        <v>0</v>
      </c>
      <c r="BR60" s="43">
        <f t="shared" si="20"/>
        <v>0</v>
      </c>
      <c r="BS60" s="43">
        <f t="shared" si="21"/>
        <v>0</v>
      </c>
      <c r="BT60" s="43">
        <f t="shared" si="22"/>
        <v>0</v>
      </c>
      <c r="BU60" s="43">
        <f t="shared" si="23"/>
        <v>0</v>
      </c>
      <c r="BV60" s="43">
        <f t="shared" si="24"/>
        <v>0</v>
      </c>
      <c r="BW60" s="43">
        <f t="shared" si="25"/>
        <v>0</v>
      </c>
      <c r="BX60" s="43">
        <f t="shared" si="26"/>
        <v>0</v>
      </c>
      <c r="BY60" s="43">
        <f t="shared" si="27"/>
        <v>0</v>
      </c>
      <c r="BZ60" s="43">
        <f t="shared" si="28"/>
        <v>0</v>
      </c>
      <c r="CA60" s="40">
        <v>40744</v>
      </c>
      <c r="CB60" s="43">
        <f t="shared" si="82"/>
        <v>0</v>
      </c>
      <c r="CC60" s="43">
        <f t="shared" si="82"/>
        <v>0</v>
      </c>
      <c r="CD60" s="43">
        <f t="shared" si="82"/>
        <v>0</v>
      </c>
      <c r="CE60" s="43">
        <f t="shared" si="82"/>
        <v>0</v>
      </c>
      <c r="CF60" s="43">
        <f t="shared" si="82"/>
        <v>0</v>
      </c>
      <c r="CG60" s="43">
        <f t="shared" si="82"/>
        <v>0</v>
      </c>
      <c r="CH60" s="43">
        <f t="shared" si="82"/>
        <v>0</v>
      </c>
      <c r="CI60" s="43">
        <f t="shared" si="82"/>
        <v>0</v>
      </c>
      <c r="CJ60" s="43">
        <f t="shared" si="82"/>
        <v>0</v>
      </c>
      <c r="CK60" s="43">
        <f t="shared" si="82"/>
        <v>0</v>
      </c>
      <c r="CL60" s="43">
        <f t="shared" si="82"/>
        <v>0</v>
      </c>
      <c r="CM60" s="43">
        <f t="shared" si="82"/>
        <v>0</v>
      </c>
      <c r="CN60" s="43">
        <f t="shared" si="82"/>
        <v>0</v>
      </c>
      <c r="CO60" s="43">
        <f t="shared" si="82"/>
        <v>0</v>
      </c>
      <c r="CP60" s="43">
        <f t="shared" si="82"/>
        <v>0</v>
      </c>
      <c r="CQ60" s="43">
        <f t="shared" si="61"/>
        <v>0</v>
      </c>
      <c r="CR60" s="64">
        <f t="shared" si="45"/>
        <v>0</v>
      </c>
      <c r="CT60" s="40">
        <v>40744</v>
      </c>
      <c r="CU60" s="71">
        <f>+CU$3-SUM(AS$4:AS60)</f>
        <v>0</v>
      </c>
      <c r="CV60" s="71">
        <f>+CV$3-SUM(AT$4:AT60)</f>
        <v>1.0000050067901611E-2</v>
      </c>
      <c r="CW60" s="71">
        <f>+CW$3-SUM(AU$4:AU60)</f>
        <v>0</v>
      </c>
      <c r="CX60" s="71">
        <f>+CX$3-SUM(AV$4:AV60)</f>
        <v>0</v>
      </c>
      <c r="CY60" s="71">
        <f>+CY$3-SUM(AW$4:AW60)</f>
        <v>985364578.13999975</v>
      </c>
      <c r="CZ60" s="71">
        <f>+CZ$3-SUM(AX$4:AX60)</f>
        <v>1038500000</v>
      </c>
      <c r="DA60" s="71">
        <f>+DA$3-SUM(AY$4:AY60)</f>
        <v>500000000</v>
      </c>
      <c r="DB60" s="71">
        <f>+DB$3-SUM(AZ$4:AZ60)</f>
        <v>0</v>
      </c>
      <c r="DC60" s="71">
        <f>+DC$3-SUM(BA$4:BA60)</f>
        <v>167000000</v>
      </c>
      <c r="DD60" s="71">
        <f>+DD$3-SUM(BB$4:BB60)</f>
        <v>23000000</v>
      </c>
      <c r="DE60" s="71">
        <f>+DE$3-SUM(BC$4:BC60)</f>
        <v>0</v>
      </c>
      <c r="DF60" s="71">
        <f>+DF$3-SUM(BD$4:BD60)</f>
        <v>91000000</v>
      </c>
      <c r="DG60" s="71">
        <f>+DG$3-SUM(BE$4:BE60)</f>
        <v>56000000</v>
      </c>
      <c r="DH60" s="71">
        <f>+DH$3-SUM(BF$4:BF60)</f>
        <v>70000000</v>
      </c>
      <c r="DI60" s="71">
        <f>+DI$3-SUM(BG$4:BG60)</f>
        <v>211000000.00000003</v>
      </c>
      <c r="DJ60" s="71">
        <f>+DJ$3-SUM(BH$4:BH60)</f>
        <v>20000000</v>
      </c>
    </row>
    <row r="61" spans="1:114">
      <c r="A61" s="75">
        <v>40777</v>
      </c>
      <c r="B61" s="76">
        <f t="shared" si="79"/>
        <v>0</v>
      </c>
      <c r="C61" s="76">
        <f t="shared" si="81"/>
        <v>0</v>
      </c>
      <c r="D61" s="76">
        <f t="shared" si="81"/>
        <v>0</v>
      </c>
      <c r="E61" s="76">
        <f t="shared" si="81"/>
        <v>0</v>
      </c>
      <c r="F61" s="76">
        <f t="shared" si="81"/>
        <v>810857922.9059844</v>
      </c>
      <c r="G61" s="76">
        <f t="shared" si="81"/>
        <v>1038500000</v>
      </c>
      <c r="H61" s="76">
        <f t="shared" si="81"/>
        <v>500000000</v>
      </c>
      <c r="I61" s="76">
        <f t="shared" si="81"/>
        <v>0</v>
      </c>
      <c r="J61" s="76">
        <f t="shared" si="81"/>
        <v>167000000</v>
      </c>
      <c r="K61" s="76">
        <f t="shared" si="81"/>
        <v>23000000</v>
      </c>
      <c r="L61" s="76">
        <f t="shared" si="81"/>
        <v>0</v>
      </c>
      <c r="M61" s="76">
        <f t="shared" si="81"/>
        <v>91000000</v>
      </c>
      <c r="N61" s="76">
        <f t="shared" si="81"/>
        <v>56000000</v>
      </c>
      <c r="O61" s="76">
        <f t="shared" si="81"/>
        <v>70000000</v>
      </c>
      <c r="P61" s="76">
        <f t="shared" si="81"/>
        <v>211000000.00000003</v>
      </c>
      <c r="Q61" s="76">
        <f t="shared" si="81"/>
        <v>20000000</v>
      </c>
      <c r="S61" s="588">
        <v>40777</v>
      </c>
      <c r="T61" s="589">
        <f t="shared" si="47"/>
        <v>0</v>
      </c>
      <c r="U61" s="589">
        <f t="shared" si="62"/>
        <v>0</v>
      </c>
      <c r="V61" s="589">
        <f t="shared" si="63"/>
        <v>0</v>
      </c>
      <c r="W61" s="589">
        <f t="shared" si="64"/>
        <v>0</v>
      </c>
      <c r="X61" s="589">
        <f t="shared" si="65"/>
        <v>174506655.24000001</v>
      </c>
      <c r="Y61" s="589">
        <f t="shared" si="66"/>
        <v>0</v>
      </c>
      <c r="Z61" s="589">
        <f t="shared" si="67"/>
        <v>0</v>
      </c>
      <c r="AA61" s="589">
        <f t="shared" si="68"/>
        <v>0</v>
      </c>
      <c r="AB61" s="589">
        <f t="shared" si="69"/>
        <v>0</v>
      </c>
      <c r="AC61" s="589">
        <f t="shared" si="70"/>
        <v>0</v>
      </c>
      <c r="AD61" s="589">
        <f t="shared" si="71"/>
        <v>0</v>
      </c>
      <c r="AE61" s="589">
        <f t="shared" si="72"/>
        <v>0</v>
      </c>
      <c r="AF61" s="589">
        <f t="shared" si="73"/>
        <v>0</v>
      </c>
      <c r="AG61" s="589">
        <f t="shared" si="74"/>
        <v>0</v>
      </c>
      <c r="AH61" s="589">
        <f t="shared" si="75"/>
        <v>0</v>
      </c>
      <c r="AI61" s="589">
        <f t="shared" si="76"/>
        <v>0</v>
      </c>
      <c r="AJ61" s="40">
        <v>40777</v>
      </c>
      <c r="AK61" s="187">
        <f t="shared" si="8"/>
        <v>2349357922.9059844</v>
      </c>
      <c r="AL61" s="43">
        <f t="shared" si="9"/>
        <v>2349357922.9059844</v>
      </c>
      <c r="AM61" s="43">
        <f t="shared" si="10"/>
        <v>2516357922.9059844</v>
      </c>
      <c r="AN61" s="43">
        <f t="shared" si="11"/>
        <v>2539357922.9059844</v>
      </c>
      <c r="AO61" s="43">
        <f t="shared" si="12"/>
        <v>9754431691.6239376</v>
      </c>
      <c r="AR61" s="40">
        <v>40777</v>
      </c>
      <c r="AS61" s="63">
        <v>0</v>
      </c>
      <c r="AT61" s="63">
        <v>0</v>
      </c>
      <c r="AU61" s="63">
        <v>0</v>
      </c>
      <c r="AV61" s="63">
        <v>0</v>
      </c>
      <c r="AW61" s="85">
        <v>174506655.24000001</v>
      </c>
      <c r="AX61" s="63">
        <v>0</v>
      </c>
      <c r="AY61" s="63">
        <v>0</v>
      </c>
      <c r="AZ61" s="63">
        <v>0</v>
      </c>
      <c r="BA61" s="63">
        <v>0</v>
      </c>
      <c r="BB61" s="63">
        <v>0</v>
      </c>
      <c r="BC61" s="63">
        <v>0</v>
      </c>
      <c r="BD61" s="63">
        <v>0</v>
      </c>
      <c r="BE61" s="63">
        <v>0</v>
      </c>
      <c r="BF61" s="63">
        <v>0</v>
      </c>
      <c r="BG61" s="63">
        <v>0</v>
      </c>
      <c r="BH61" s="63">
        <v>0</v>
      </c>
      <c r="BJ61" s="40">
        <v>40777</v>
      </c>
      <c r="BK61" s="43">
        <f t="shared" si="13"/>
        <v>0</v>
      </c>
      <c r="BL61" s="43">
        <f t="shared" si="14"/>
        <v>0</v>
      </c>
      <c r="BM61" s="43">
        <f t="shared" si="15"/>
        <v>0</v>
      </c>
      <c r="BN61" s="43">
        <f t="shared" si="16"/>
        <v>0</v>
      </c>
      <c r="BO61" s="43">
        <f t="shared" si="17"/>
        <v>0</v>
      </c>
      <c r="BP61" s="43">
        <f t="shared" si="18"/>
        <v>0</v>
      </c>
      <c r="BQ61" s="43">
        <f t="shared" si="19"/>
        <v>0</v>
      </c>
      <c r="BR61" s="43">
        <f t="shared" si="20"/>
        <v>0</v>
      </c>
      <c r="BS61" s="43">
        <f t="shared" si="21"/>
        <v>0</v>
      </c>
      <c r="BT61" s="43">
        <f t="shared" si="22"/>
        <v>0</v>
      </c>
      <c r="BU61" s="43">
        <f t="shared" si="23"/>
        <v>0</v>
      </c>
      <c r="BV61" s="43">
        <f t="shared" si="24"/>
        <v>0</v>
      </c>
      <c r="BW61" s="43">
        <f t="shared" si="25"/>
        <v>0</v>
      </c>
      <c r="BX61" s="43">
        <f t="shared" si="26"/>
        <v>0</v>
      </c>
      <c r="BY61" s="43">
        <f t="shared" si="27"/>
        <v>0</v>
      </c>
      <c r="BZ61" s="43">
        <f t="shared" si="28"/>
        <v>0</v>
      </c>
      <c r="CA61" s="40">
        <v>40777</v>
      </c>
      <c r="CB61" s="43">
        <f t="shared" si="82"/>
        <v>0</v>
      </c>
      <c r="CC61" s="43">
        <f t="shared" si="82"/>
        <v>0</v>
      </c>
      <c r="CD61" s="43">
        <f t="shared" si="82"/>
        <v>0</v>
      </c>
      <c r="CE61" s="43">
        <f t="shared" si="82"/>
        <v>0</v>
      </c>
      <c r="CF61" s="43">
        <f t="shared" si="82"/>
        <v>0</v>
      </c>
      <c r="CG61" s="43">
        <f t="shared" si="82"/>
        <v>0</v>
      </c>
      <c r="CH61" s="43">
        <f t="shared" si="82"/>
        <v>0</v>
      </c>
      <c r="CI61" s="43">
        <f t="shared" si="82"/>
        <v>0</v>
      </c>
      <c r="CJ61" s="43">
        <f t="shared" si="82"/>
        <v>0</v>
      </c>
      <c r="CK61" s="43">
        <f t="shared" si="82"/>
        <v>0</v>
      </c>
      <c r="CL61" s="43">
        <f t="shared" si="82"/>
        <v>0</v>
      </c>
      <c r="CM61" s="43">
        <f t="shared" si="82"/>
        <v>0</v>
      </c>
      <c r="CN61" s="43">
        <f t="shared" si="82"/>
        <v>0</v>
      </c>
      <c r="CO61" s="43">
        <f t="shared" si="82"/>
        <v>0</v>
      </c>
      <c r="CP61" s="43">
        <f t="shared" si="82"/>
        <v>0</v>
      </c>
      <c r="CQ61" s="43">
        <f t="shared" si="61"/>
        <v>0</v>
      </c>
      <c r="CR61" s="64">
        <f t="shared" si="45"/>
        <v>0</v>
      </c>
      <c r="CT61" s="40">
        <v>40777</v>
      </c>
      <c r="CU61" s="71">
        <f>+CU$3-SUM(AS$4:AS61)</f>
        <v>0</v>
      </c>
      <c r="CV61" s="71">
        <f>+CV$3-SUM(AT$4:AT61)</f>
        <v>1.0000050067901611E-2</v>
      </c>
      <c r="CW61" s="71">
        <f>+CW$3-SUM(AU$4:AU61)</f>
        <v>0</v>
      </c>
      <c r="CX61" s="71">
        <f>+CX$3-SUM(AV$4:AV61)</f>
        <v>0</v>
      </c>
      <c r="CY61" s="71">
        <f>+CY$3-SUM(AW$4:AW61)</f>
        <v>810857922.89999974</v>
      </c>
      <c r="CZ61" s="71">
        <f>+CZ$3-SUM(AX$4:AX61)</f>
        <v>1038500000</v>
      </c>
      <c r="DA61" s="71">
        <f>+DA$3-SUM(AY$4:AY61)</f>
        <v>500000000</v>
      </c>
      <c r="DB61" s="71">
        <f>+DB$3-SUM(AZ$4:AZ61)</f>
        <v>0</v>
      </c>
      <c r="DC61" s="71">
        <f>+DC$3-SUM(BA$4:BA61)</f>
        <v>167000000</v>
      </c>
      <c r="DD61" s="71">
        <f>+DD$3-SUM(BB$4:BB61)</f>
        <v>23000000</v>
      </c>
      <c r="DE61" s="71">
        <f>+DE$3-SUM(BC$4:BC61)</f>
        <v>0</v>
      </c>
      <c r="DF61" s="71">
        <f>+DF$3-SUM(BD$4:BD61)</f>
        <v>91000000</v>
      </c>
      <c r="DG61" s="71">
        <f>+DG$3-SUM(BE$4:BE61)</f>
        <v>56000000</v>
      </c>
      <c r="DH61" s="71">
        <f>+DH$3-SUM(BF$4:BF61)</f>
        <v>70000000</v>
      </c>
      <c r="DI61" s="71">
        <f>+DI$3-SUM(BG$4:BG61)</f>
        <v>211000000.00000003</v>
      </c>
      <c r="DJ61" s="71">
        <f>+DJ$3-SUM(BH$4:BH61)</f>
        <v>20000000</v>
      </c>
    </row>
    <row r="62" spans="1:114">
      <c r="A62" s="75">
        <v>40806</v>
      </c>
      <c r="B62" s="76">
        <f t="shared" si="79"/>
        <v>0</v>
      </c>
      <c r="C62" s="76">
        <f t="shared" si="81"/>
        <v>0</v>
      </c>
      <c r="D62" s="76">
        <f t="shared" si="81"/>
        <v>0</v>
      </c>
      <c r="E62" s="76">
        <f t="shared" si="81"/>
        <v>0</v>
      </c>
      <c r="F62" s="76">
        <f t="shared" si="81"/>
        <v>810857922.9059844</v>
      </c>
      <c r="G62" s="76">
        <f t="shared" si="81"/>
        <v>1038500000</v>
      </c>
      <c r="H62" s="76">
        <f t="shared" si="81"/>
        <v>500000000</v>
      </c>
      <c r="I62" s="76">
        <f t="shared" si="81"/>
        <v>0</v>
      </c>
      <c r="J62" s="76">
        <f t="shared" si="81"/>
        <v>167000000</v>
      </c>
      <c r="K62" s="76">
        <f t="shared" si="81"/>
        <v>23000000</v>
      </c>
      <c r="L62" s="76">
        <f t="shared" si="81"/>
        <v>0</v>
      </c>
      <c r="M62" s="76">
        <f t="shared" si="81"/>
        <v>91000000</v>
      </c>
      <c r="N62" s="76">
        <f t="shared" si="81"/>
        <v>56000000</v>
      </c>
      <c r="O62" s="76">
        <f t="shared" si="81"/>
        <v>70000000</v>
      </c>
      <c r="P62" s="76">
        <f t="shared" si="81"/>
        <v>211000000.00000003</v>
      </c>
      <c r="Q62" s="76">
        <f t="shared" si="81"/>
        <v>20000000</v>
      </c>
      <c r="S62" s="40">
        <v>40806</v>
      </c>
      <c r="T62" s="82">
        <f t="shared" si="47"/>
        <v>0</v>
      </c>
      <c r="U62" s="82">
        <f t="shared" si="62"/>
        <v>0</v>
      </c>
      <c r="V62" s="82">
        <f t="shared" si="63"/>
        <v>0</v>
      </c>
      <c r="W62" s="82">
        <f t="shared" si="64"/>
        <v>0</v>
      </c>
      <c r="X62" s="82">
        <f t="shared" si="65"/>
        <v>0</v>
      </c>
      <c r="Y62" s="82">
        <f t="shared" si="66"/>
        <v>0</v>
      </c>
      <c r="Z62" s="82">
        <f t="shared" si="67"/>
        <v>0</v>
      </c>
      <c r="AA62" s="82">
        <f t="shared" si="68"/>
        <v>0</v>
      </c>
      <c r="AB62" s="82">
        <f t="shared" si="69"/>
        <v>0</v>
      </c>
      <c r="AC62" s="82">
        <f t="shared" si="70"/>
        <v>0</v>
      </c>
      <c r="AD62" s="82">
        <f t="shared" si="71"/>
        <v>0</v>
      </c>
      <c r="AE62" s="82">
        <f t="shared" si="72"/>
        <v>0</v>
      </c>
      <c r="AF62" s="82">
        <f t="shared" si="73"/>
        <v>0</v>
      </c>
      <c r="AG62" s="82">
        <f t="shared" si="74"/>
        <v>0</v>
      </c>
      <c r="AH62" s="82">
        <f t="shared" si="75"/>
        <v>0</v>
      </c>
      <c r="AI62" s="82">
        <f t="shared" si="76"/>
        <v>0</v>
      </c>
      <c r="AJ62" s="40">
        <v>40806</v>
      </c>
      <c r="AK62" s="187">
        <f t="shared" si="8"/>
        <v>2349357922.9059844</v>
      </c>
      <c r="AL62" s="43">
        <f t="shared" si="9"/>
        <v>2349357922.9059844</v>
      </c>
      <c r="AM62" s="43">
        <f t="shared" si="10"/>
        <v>2516357922.9059844</v>
      </c>
      <c r="AN62" s="43">
        <f t="shared" si="11"/>
        <v>2539357922.9059844</v>
      </c>
      <c r="AO62" s="43">
        <f t="shared" si="12"/>
        <v>9754431691.6239376</v>
      </c>
      <c r="AR62" s="40">
        <v>40806</v>
      </c>
      <c r="AS62" s="63">
        <v>0</v>
      </c>
      <c r="AT62" s="63">
        <v>0</v>
      </c>
      <c r="AU62" s="63">
        <v>0</v>
      </c>
      <c r="AV62" s="63">
        <v>0</v>
      </c>
      <c r="AW62" s="63">
        <v>0</v>
      </c>
      <c r="AX62" s="63">
        <v>0</v>
      </c>
      <c r="AY62" s="63">
        <v>0</v>
      </c>
      <c r="AZ62" s="63">
        <v>0</v>
      </c>
      <c r="BA62" s="63">
        <v>0</v>
      </c>
      <c r="BB62" s="63">
        <v>0</v>
      </c>
      <c r="BC62" s="63">
        <v>0</v>
      </c>
      <c r="BD62" s="63">
        <v>0</v>
      </c>
      <c r="BE62" s="63">
        <v>0</v>
      </c>
      <c r="BF62" s="63">
        <v>0</v>
      </c>
      <c r="BG62" s="63">
        <v>0</v>
      </c>
      <c r="BH62" s="63">
        <v>0</v>
      </c>
      <c r="BJ62" s="40">
        <v>40806</v>
      </c>
      <c r="BK62" s="43">
        <f t="shared" si="13"/>
        <v>0</v>
      </c>
      <c r="BL62" s="43">
        <f t="shared" si="14"/>
        <v>0</v>
      </c>
      <c r="BM62" s="43">
        <f t="shared" si="15"/>
        <v>0</v>
      </c>
      <c r="BN62" s="43">
        <f t="shared" si="16"/>
        <v>0</v>
      </c>
      <c r="BO62" s="43">
        <f t="shared" si="17"/>
        <v>0</v>
      </c>
      <c r="BP62" s="43">
        <f t="shared" si="18"/>
        <v>0</v>
      </c>
      <c r="BQ62" s="43">
        <f t="shared" si="19"/>
        <v>0</v>
      </c>
      <c r="BR62" s="43">
        <f t="shared" si="20"/>
        <v>0</v>
      </c>
      <c r="BS62" s="43">
        <f t="shared" si="21"/>
        <v>0</v>
      </c>
      <c r="BT62" s="43">
        <f t="shared" si="22"/>
        <v>0</v>
      </c>
      <c r="BU62" s="43">
        <f t="shared" si="23"/>
        <v>0</v>
      </c>
      <c r="BV62" s="43">
        <f t="shared" si="24"/>
        <v>0</v>
      </c>
      <c r="BW62" s="43">
        <f t="shared" si="25"/>
        <v>0</v>
      </c>
      <c r="BX62" s="43">
        <f t="shared" si="26"/>
        <v>0</v>
      </c>
      <c r="BY62" s="43">
        <f t="shared" si="27"/>
        <v>0</v>
      </c>
      <c r="BZ62" s="43">
        <f t="shared" si="28"/>
        <v>0</v>
      </c>
      <c r="CA62" s="40">
        <v>40806</v>
      </c>
      <c r="CB62" s="43">
        <f t="shared" si="82"/>
        <v>0</v>
      </c>
      <c r="CC62" s="43">
        <f t="shared" si="82"/>
        <v>0</v>
      </c>
      <c r="CD62" s="43">
        <f t="shared" si="82"/>
        <v>0</v>
      </c>
      <c r="CE62" s="43">
        <f t="shared" si="82"/>
        <v>0</v>
      </c>
      <c r="CF62" s="43">
        <f t="shared" si="82"/>
        <v>0</v>
      </c>
      <c r="CG62" s="43">
        <f t="shared" si="82"/>
        <v>0</v>
      </c>
      <c r="CH62" s="43">
        <f t="shared" si="82"/>
        <v>0</v>
      </c>
      <c r="CI62" s="43">
        <f t="shared" si="82"/>
        <v>0</v>
      </c>
      <c r="CJ62" s="43">
        <f t="shared" si="82"/>
        <v>0</v>
      </c>
      <c r="CK62" s="43">
        <f t="shared" si="82"/>
        <v>0</v>
      </c>
      <c r="CL62" s="43">
        <f t="shared" si="82"/>
        <v>0</v>
      </c>
      <c r="CM62" s="43">
        <f t="shared" si="82"/>
        <v>0</v>
      </c>
      <c r="CN62" s="43">
        <f t="shared" si="82"/>
        <v>0</v>
      </c>
      <c r="CO62" s="43">
        <f t="shared" si="82"/>
        <v>0</v>
      </c>
      <c r="CP62" s="43">
        <f t="shared" si="82"/>
        <v>0</v>
      </c>
      <c r="CQ62" s="43">
        <f t="shared" si="61"/>
        <v>0</v>
      </c>
      <c r="CR62" s="64">
        <f t="shared" si="45"/>
        <v>0</v>
      </c>
      <c r="CT62" s="40">
        <v>40806</v>
      </c>
      <c r="CU62" s="71">
        <f>+CU$3-SUM(AS$4:AS62)</f>
        <v>0</v>
      </c>
      <c r="CV62" s="71">
        <f>+CV$3-SUM(AT$4:AT62)</f>
        <v>1.0000050067901611E-2</v>
      </c>
      <c r="CW62" s="71">
        <f>+CW$3-SUM(AU$4:AU62)</f>
        <v>0</v>
      </c>
      <c r="CX62" s="71">
        <f>+CX$3-SUM(AV$4:AV62)</f>
        <v>0</v>
      </c>
      <c r="CY62" s="71">
        <f>+CY$3-SUM(AW$4:AW62)</f>
        <v>810857922.89999974</v>
      </c>
      <c r="CZ62" s="71">
        <f>+CZ$3-SUM(AX$4:AX62)</f>
        <v>1038500000</v>
      </c>
      <c r="DA62" s="71">
        <f>+DA$3-SUM(AY$4:AY62)</f>
        <v>500000000</v>
      </c>
      <c r="DB62" s="71">
        <f>+DB$3-SUM(AZ$4:AZ62)</f>
        <v>0</v>
      </c>
      <c r="DC62" s="71">
        <f>+DC$3-SUM(BA$4:BA62)</f>
        <v>167000000</v>
      </c>
      <c r="DD62" s="71">
        <f>+DD$3-SUM(BB$4:BB62)</f>
        <v>23000000</v>
      </c>
      <c r="DE62" s="71">
        <f>+DE$3-SUM(BC$4:BC62)</f>
        <v>0</v>
      </c>
      <c r="DF62" s="71">
        <f>+DF$3-SUM(BD$4:BD62)</f>
        <v>91000000</v>
      </c>
      <c r="DG62" s="71">
        <f>+DG$3-SUM(BE$4:BE62)</f>
        <v>56000000</v>
      </c>
      <c r="DH62" s="71">
        <f>+DH$3-SUM(BF$4:BF62)</f>
        <v>70000000</v>
      </c>
      <c r="DI62" s="71">
        <f>+DI$3-SUM(BG$4:BG62)</f>
        <v>211000000.00000003</v>
      </c>
      <c r="DJ62" s="71">
        <f>+DJ$3-SUM(BH$4:BH62)</f>
        <v>20000000</v>
      </c>
    </row>
    <row r="63" spans="1:114">
      <c r="A63" s="75">
        <v>40836</v>
      </c>
      <c r="B63" s="76">
        <f t="shared" si="79"/>
        <v>0</v>
      </c>
      <c r="C63" s="76">
        <f t="shared" si="81"/>
        <v>0</v>
      </c>
      <c r="D63" s="76">
        <f t="shared" si="81"/>
        <v>0</v>
      </c>
      <c r="E63" s="76">
        <f t="shared" si="81"/>
        <v>0</v>
      </c>
      <c r="F63" s="76">
        <f t="shared" si="81"/>
        <v>810857922.9059844</v>
      </c>
      <c r="G63" s="76">
        <f t="shared" si="81"/>
        <v>1038500000</v>
      </c>
      <c r="H63" s="76">
        <f t="shared" si="81"/>
        <v>500000000</v>
      </c>
      <c r="I63" s="76">
        <f t="shared" si="81"/>
        <v>0</v>
      </c>
      <c r="J63" s="76">
        <f t="shared" si="81"/>
        <v>167000000</v>
      </c>
      <c r="K63" s="76">
        <f t="shared" si="81"/>
        <v>23000000</v>
      </c>
      <c r="L63" s="76">
        <f t="shared" si="81"/>
        <v>0</v>
      </c>
      <c r="M63" s="76">
        <f t="shared" si="81"/>
        <v>91000000</v>
      </c>
      <c r="N63" s="76">
        <f t="shared" si="81"/>
        <v>56000000</v>
      </c>
      <c r="O63" s="76">
        <f t="shared" si="81"/>
        <v>70000000</v>
      </c>
      <c r="P63" s="76">
        <f t="shared" si="81"/>
        <v>211000000.00000003</v>
      </c>
      <c r="Q63" s="76">
        <f t="shared" si="81"/>
        <v>20000000</v>
      </c>
      <c r="S63" s="40">
        <v>40836</v>
      </c>
      <c r="T63" s="82">
        <f t="shared" si="47"/>
        <v>0</v>
      </c>
      <c r="U63" s="82">
        <f t="shared" si="62"/>
        <v>0</v>
      </c>
      <c r="V63" s="82">
        <f t="shared" si="63"/>
        <v>0</v>
      </c>
      <c r="W63" s="82">
        <f t="shared" si="64"/>
        <v>0</v>
      </c>
      <c r="X63" s="82">
        <f t="shared" si="65"/>
        <v>0</v>
      </c>
      <c r="Y63" s="82">
        <f t="shared" si="66"/>
        <v>0</v>
      </c>
      <c r="Z63" s="82">
        <f t="shared" si="67"/>
        <v>0</v>
      </c>
      <c r="AA63" s="82">
        <f t="shared" si="68"/>
        <v>0</v>
      </c>
      <c r="AB63" s="82">
        <f t="shared" si="69"/>
        <v>0</v>
      </c>
      <c r="AC63" s="82">
        <f t="shared" si="70"/>
        <v>0</v>
      </c>
      <c r="AD63" s="82">
        <f t="shared" si="71"/>
        <v>0</v>
      </c>
      <c r="AE63" s="82">
        <f t="shared" si="72"/>
        <v>0</v>
      </c>
      <c r="AF63" s="82">
        <f t="shared" si="73"/>
        <v>0</v>
      </c>
      <c r="AG63" s="82">
        <f t="shared" si="74"/>
        <v>0</v>
      </c>
      <c r="AH63" s="82">
        <f t="shared" si="75"/>
        <v>0</v>
      </c>
      <c r="AI63" s="82">
        <f t="shared" si="76"/>
        <v>0</v>
      </c>
      <c r="AJ63" s="40">
        <v>40836</v>
      </c>
      <c r="AK63" s="187">
        <f t="shared" si="8"/>
        <v>2349357922.9059844</v>
      </c>
      <c r="AL63" s="43">
        <f t="shared" si="9"/>
        <v>2349357922.9059844</v>
      </c>
      <c r="AM63" s="43">
        <f t="shared" si="10"/>
        <v>2516357922.9059844</v>
      </c>
      <c r="AN63" s="43">
        <f t="shared" si="11"/>
        <v>2539357922.9059844</v>
      </c>
      <c r="AO63" s="43">
        <f t="shared" si="12"/>
        <v>9754431691.6239376</v>
      </c>
      <c r="AR63" s="40">
        <v>40836</v>
      </c>
      <c r="AS63" s="63">
        <v>0</v>
      </c>
      <c r="AT63" s="63">
        <v>0</v>
      </c>
      <c r="AU63" s="63">
        <v>0</v>
      </c>
      <c r="AV63" s="63">
        <v>0</v>
      </c>
      <c r="AW63" s="63">
        <v>0</v>
      </c>
      <c r="AX63" s="63">
        <v>0</v>
      </c>
      <c r="AY63" s="63">
        <v>0</v>
      </c>
      <c r="AZ63" s="63">
        <v>0</v>
      </c>
      <c r="BA63" s="63">
        <v>0</v>
      </c>
      <c r="BB63" s="63">
        <v>0</v>
      </c>
      <c r="BC63" s="63">
        <v>0</v>
      </c>
      <c r="BD63" s="63">
        <v>0</v>
      </c>
      <c r="BE63" s="63">
        <v>0</v>
      </c>
      <c r="BF63" s="63">
        <v>0</v>
      </c>
      <c r="BG63" s="63">
        <v>0</v>
      </c>
      <c r="BH63" s="63">
        <v>0</v>
      </c>
      <c r="BJ63" s="40">
        <v>40836</v>
      </c>
      <c r="BK63" s="43">
        <f t="shared" si="13"/>
        <v>0</v>
      </c>
      <c r="BL63" s="43">
        <f t="shared" si="14"/>
        <v>0</v>
      </c>
      <c r="BM63" s="43">
        <f t="shared" si="15"/>
        <v>0</v>
      </c>
      <c r="BN63" s="43">
        <f t="shared" si="16"/>
        <v>0</v>
      </c>
      <c r="BO63" s="43">
        <f t="shared" si="17"/>
        <v>0</v>
      </c>
      <c r="BP63" s="43">
        <f t="shared" si="18"/>
        <v>0</v>
      </c>
      <c r="BQ63" s="43">
        <f t="shared" si="19"/>
        <v>0</v>
      </c>
      <c r="BR63" s="43">
        <f t="shared" si="20"/>
        <v>0</v>
      </c>
      <c r="BS63" s="43">
        <f t="shared" si="21"/>
        <v>0</v>
      </c>
      <c r="BT63" s="43">
        <f t="shared" si="22"/>
        <v>0</v>
      </c>
      <c r="BU63" s="43">
        <f t="shared" si="23"/>
        <v>0</v>
      </c>
      <c r="BV63" s="43">
        <f t="shared" si="24"/>
        <v>0</v>
      </c>
      <c r="BW63" s="43">
        <f t="shared" si="25"/>
        <v>0</v>
      </c>
      <c r="BX63" s="43">
        <f t="shared" si="26"/>
        <v>0</v>
      </c>
      <c r="BY63" s="43">
        <f t="shared" si="27"/>
        <v>0</v>
      </c>
      <c r="BZ63" s="43">
        <f t="shared" si="28"/>
        <v>0</v>
      </c>
      <c r="CA63" s="40">
        <v>40836</v>
      </c>
      <c r="CB63" s="43">
        <f t="shared" si="82"/>
        <v>0</v>
      </c>
      <c r="CC63" s="43">
        <f t="shared" si="82"/>
        <v>0</v>
      </c>
      <c r="CD63" s="43">
        <f t="shared" si="82"/>
        <v>0</v>
      </c>
      <c r="CE63" s="43">
        <f t="shared" si="82"/>
        <v>0</v>
      </c>
      <c r="CF63" s="43">
        <f t="shared" si="82"/>
        <v>0</v>
      </c>
      <c r="CG63" s="43">
        <f t="shared" si="82"/>
        <v>0</v>
      </c>
      <c r="CH63" s="43">
        <f t="shared" si="82"/>
        <v>0</v>
      </c>
      <c r="CI63" s="43">
        <f t="shared" si="82"/>
        <v>0</v>
      </c>
      <c r="CJ63" s="43">
        <f t="shared" si="82"/>
        <v>0</v>
      </c>
      <c r="CK63" s="43">
        <f t="shared" si="82"/>
        <v>0</v>
      </c>
      <c r="CL63" s="43">
        <f t="shared" si="82"/>
        <v>0</v>
      </c>
      <c r="CM63" s="43">
        <f t="shared" si="82"/>
        <v>0</v>
      </c>
      <c r="CN63" s="43">
        <f t="shared" si="82"/>
        <v>0</v>
      </c>
      <c r="CO63" s="43">
        <f t="shared" si="82"/>
        <v>0</v>
      </c>
      <c r="CP63" s="43">
        <f t="shared" si="82"/>
        <v>0</v>
      </c>
      <c r="CQ63" s="43">
        <f t="shared" si="61"/>
        <v>0</v>
      </c>
      <c r="CR63" s="64">
        <f t="shared" si="45"/>
        <v>0</v>
      </c>
      <c r="CT63" s="40">
        <v>40836</v>
      </c>
      <c r="CU63" s="71">
        <f>+CU$3-SUM(AS$4:AS63)</f>
        <v>0</v>
      </c>
      <c r="CV63" s="71">
        <f>+CV$3-SUM(AT$4:AT63)</f>
        <v>1.0000050067901611E-2</v>
      </c>
      <c r="CW63" s="71">
        <f>+CW$3-SUM(AU$4:AU63)</f>
        <v>0</v>
      </c>
      <c r="CX63" s="71">
        <f>+CX$3-SUM(AV$4:AV63)</f>
        <v>0</v>
      </c>
      <c r="CY63" s="71">
        <f>+CY$3-SUM(AW$4:AW63)</f>
        <v>810857922.89999974</v>
      </c>
      <c r="CZ63" s="269">
        <f>+CZ$3-SUM(AX$4:AX63)</f>
        <v>1038500000</v>
      </c>
      <c r="DA63" s="269">
        <f>+DA$3-SUM(AY$4:AY63)</f>
        <v>500000000</v>
      </c>
      <c r="DB63" s="269">
        <f>+DB$3-SUM(AZ$4:AZ63)</f>
        <v>0</v>
      </c>
      <c r="DC63" s="71">
        <f>+DC$3-SUM(BA$4:BA63)</f>
        <v>167000000</v>
      </c>
      <c r="DD63" s="71">
        <f>+DD$3-SUM(BB$4:BB63)</f>
        <v>23000000</v>
      </c>
      <c r="DE63" s="71">
        <f>+DE$3-SUM(BC$4:BC63)</f>
        <v>0</v>
      </c>
      <c r="DF63" s="71">
        <f>+DF$3-SUM(BD$4:BD63)</f>
        <v>91000000</v>
      </c>
      <c r="DG63" s="71">
        <f>+DG$3-SUM(BE$4:BE63)</f>
        <v>56000000</v>
      </c>
      <c r="DH63" s="71">
        <f>+DH$3-SUM(BF$4:BF63)</f>
        <v>70000000</v>
      </c>
      <c r="DI63" s="71">
        <f>+DI$3-SUM(BG$4:BG63)</f>
        <v>211000000.00000003</v>
      </c>
      <c r="DJ63" s="71">
        <f>+DJ$3-SUM(BH$4:BH63)</f>
        <v>20000000</v>
      </c>
    </row>
    <row r="64" spans="1:114">
      <c r="A64" s="75">
        <v>40868</v>
      </c>
      <c r="B64" s="76">
        <f t="shared" si="79"/>
        <v>0</v>
      </c>
      <c r="C64" s="76">
        <f t="shared" si="81"/>
        <v>0</v>
      </c>
      <c r="D64" s="76">
        <f t="shared" si="81"/>
        <v>0</v>
      </c>
      <c r="E64" s="76">
        <f t="shared" si="81"/>
        <v>0</v>
      </c>
      <c r="F64" s="76">
        <f t="shared" si="81"/>
        <v>667256146.32221091</v>
      </c>
      <c r="G64" s="76">
        <f t="shared" si="81"/>
        <v>1038500000</v>
      </c>
      <c r="H64" s="76">
        <f t="shared" si="81"/>
        <v>500000000</v>
      </c>
      <c r="I64" s="76">
        <f t="shared" si="81"/>
        <v>0</v>
      </c>
      <c r="J64" s="76">
        <f t="shared" si="81"/>
        <v>137424539.22933337</v>
      </c>
      <c r="K64" s="76">
        <f t="shared" si="81"/>
        <v>18926732.947752502</v>
      </c>
      <c r="L64" s="76">
        <f t="shared" si="81"/>
        <v>0</v>
      </c>
      <c r="M64" s="76">
        <f t="shared" si="81"/>
        <v>74884030.358499035</v>
      </c>
      <c r="N64" s="76">
        <f t="shared" si="81"/>
        <v>46082480.220614791</v>
      </c>
      <c r="O64" s="76">
        <f t="shared" si="81"/>
        <v>57603100.275768481</v>
      </c>
      <c r="P64" s="76">
        <f t="shared" si="81"/>
        <v>173632202.25981644</v>
      </c>
      <c r="Q64" s="76">
        <f t="shared" si="81"/>
        <v>16458028.650219567</v>
      </c>
      <c r="S64" s="588">
        <v>40868</v>
      </c>
      <c r="T64" s="589">
        <f t="shared" si="47"/>
        <v>0</v>
      </c>
      <c r="U64" s="589">
        <f t="shared" si="62"/>
        <v>0</v>
      </c>
      <c r="V64" s="589">
        <f t="shared" si="63"/>
        <v>0</v>
      </c>
      <c r="W64" s="589">
        <f t="shared" si="64"/>
        <v>0</v>
      </c>
      <c r="X64" s="589">
        <f t="shared" si="65"/>
        <v>143601776.58000001</v>
      </c>
      <c r="Y64" s="589">
        <f t="shared" si="66"/>
        <v>0</v>
      </c>
      <c r="Z64" s="589">
        <f t="shared" si="67"/>
        <v>0</v>
      </c>
      <c r="AA64" s="589">
        <f t="shared" si="68"/>
        <v>0</v>
      </c>
      <c r="AB64" s="589">
        <f>+ROUND(J63-J64,2)</f>
        <v>29575460.77</v>
      </c>
      <c r="AC64" s="589">
        <f t="shared" si="70"/>
        <v>4073267.05</v>
      </c>
      <c r="AD64" s="589">
        <f t="shared" si="71"/>
        <v>0</v>
      </c>
      <c r="AE64" s="589">
        <f t="shared" si="72"/>
        <v>16115969.640000001</v>
      </c>
      <c r="AF64" s="589">
        <f t="shared" si="73"/>
        <v>9917519.7799999993</v>
      </c>
      <c r="AG64" s="589">
        <f t="shared" si="74"/>
        <v>12396899.720000001</v>
      </c>
      <c r="AH64" s="589">
        <f t="shared" si="75"/>
        <v>37367797.740000002</v>
      </c>
      <c r="AI64" s="589">
        <f t="shared" si="76"/>
        <v>3541971.35</v>
      </c>
      <c r="AJ64" s="1107">
        <v>40868</v>
      </c>
      <c r="AK64" s="187">
        <f t="shared" si="8"/>
        <v>2205756146.3222108</v>
      </c>
      <c r="AL64" s="43">
        <f t="shared" si="9"/>
        <v>2205756146.3222108</v>
      </c>
      <c r="AM64" s="43">
        <f t="shared" si="10"/>
        <v>2343180685.5515442</v>
      </c>
      <c r="AN64" s="43">
        <f t="shared" si="11"/>
        <v>2362107418.4992967</v>
      </c>
      <c r="AO64" s="43">
        <f t="shared" si="12"/>
        <v>9116800396.6952629</v>
      </c>
      <c r="AP64" s="1108"/>
      <c r="AQ64" s="1108"/>
      <c r="AR64" s="1107">
        <v>40868</v>
      </c>
      <c r="AS64" s="63">
        <v>0</v>
      </c>
      <c r="AT64" s="63">
        <v>0</v>
      </c>
      <c r="AU64" s="63">
        <v>0</v>
      </c>
      <c r="AV64" s="63">
        <v>0</v>
      </c>
      <c r="AW64" s="85">
        <v>143601776.58000001</v>
      </c>
      <c r="AX64" s="63">
        <v>0</v>
      </c>
      <c r="AY64" s="63">
        <v>0</v>
      </c>
      <c r="AZ64" s="63">
        <v>0</v>
      </c>
      <c r="BA64" s="85">
        <v>29575460.77</v>
      </c>
      <c r="BB64" s="85">
        <v>4073267.05</v>
      </c>
      <c r="BC64" s="63">
        <v>0</v>
      </c>
      <c r="BD64" s="85">
        <v>16115969.640000001</v>
      </c>
      <c r="BE64" s="85">
        <v>9917519.7799999993</v>
      </c>
      <c r="BF64" s="85">
        <v>12396899.720000001</v>
      </c>
      <c r="BG64" s="85">
        <v>37367797.740000002</v>
      </c>
      <c r="BH64" s="85">
        <v>3541971.35</v>
      </c>
      <c r="BI64" s="1108"/>
      <c r="BJ64" s="1107">
        <v>40868</v>
      </c>
      <c r="BK64" s="43">
        <f t="shared" si="13"/>
        <v>0</v>
      </c>
      <c r="BL64" s="43">
        <f t="shared" si="14"/>
        <v>0</v>
      </c>
      <c r="BM64" s="43">
        <f t="shared" si="15"/>
        <v>0</v>
      </c>
      <c r="BN64" s="43">
        <f t="shared" si="16"/>
        <v>0</v>
      </c>
      <c r="BO64" s="43">
        <f t="shared" si="17"/>
        <v>0</v>
      </c>
      <c r="BP64" s="43">
        <f t="shared" si="18"/>
        <v>0</v>
      </c>
      <c r="BQ64" s="43">
        <f t="shared" si="19"/>
        <v>0</v>
      </c>
      <c r="BR64" s="43">
        <f t="shared" si="20"/>
        <v>0</v>
      </c>
      <c r="BS64" s="43">
        <f t="shared" si="21"/>
        <v>0</v>
      </c>
      <c r="BT64" s="43">
        <f t="shared" si="22"/>
        <v>0</v>
      </c>
      <c r="BU64" s="43">
        <f t="shared" si="23"/>
        <v>0</v>
      </c>
      <c r="BV64" s="43">
        <f t="shared" si="24"/>
        <v>0</v>
      </c>
      <c r="BW64" s="43">
        <f t="shared" si="25"/>
        <v>0</v>
      </c>
      <c r="BX64" s="43">
        <f t="shared" si="26"/>
        <v>0</v>
      </c>
      <c r="BY64" s="43">
        <f t="shared" si="27"/>
        <v>0</v>
      </c>
      <c r="BZ64" s="43">
        <f t="shared" si="28"/>
        <v>0</v>
      </c>
      <c r="CA64" s="1107">
        <v>40868</v>
      </c>
      <c r="CB64" s="43">
        <f t="shared" si="82"/>
        <v>0</v>
      </c>
      <c r="CC64" s="43">
        <f t="shared" si="82"/>
        <v>0</v>
      </c>
      <c r="CD64" s="43">
        <f t="shared" si="82"/>
        <v>0</v>
      </c>
      <c r="CE64" s="43">
        <f t="shared" si="82"/>
        <v>0</v>
      </c>
      <c r="CF64" s="43">
        <f t="shared" si="82"/>
        <v>0</v>
      </c>
      <c r="CG64" s="43">
        <f t="shared" si="82"/>
        <v>0</v>
      </c>
      <c r="CH64" s="43">
        <f t="shared" si="82"/>
        <v>0</v>
      </c>
      <c r="CI64" s="43">
        <f t="shared" si="82"/>
        <v>0</v>
      </c>
      <c r="CJ64" s="43">
        <f t="shared" si="82"/>
        <v>0</v>
      </c>
      <c r="CK64" s="43">
        <f t="shared" si="82"/>
        <v>0</v>
      </c>
      <c r="CL64" s="43">
        <f t="shared" si="82"/>
        <v>0</v>
      </c>
      <c r="CM64" s="43">
        <f t="shared" si="82"/>
        <v>0</v>
      </c>
      <c r="CN64" s="43">
        <f t="shared" si="82"/>
        <v>0</v>
      </c>
      <c r="CO64" s="43">
        <f t="shared" si="82"/>
        <v>0</v>
      </c>
      <c r="CP64" s="43">
        <f t="shared" si="82"/>
        <v>0</v>
      </c>
      <c r="CQ64" s="43">
        <f t="shared" si="61"/>
        <v>0</v>
      </c>
      <c r="CR64" s="64">
        <f t="shared" si="45"/>
        <v>0</v>
      </c>
      <c r="CS64" s="45"/>
      <c r="CT64" s="44">
        <v>40868</v>
      </c>
      <c r="CU64" s="269">
        <f>+CU$3-SUM(AS$4:AS64)</f>
        <v>0</v>
      </c>
      <c r="CV64" s="269">
        <f>+CV$3-SUM(AT$4:AT64)</f>
        <v>1.0000050067901611E-2</v>
      </c>
      <c r="CW64" s="269">
        <f>+CW$3-SUM(AU$4:AU64)</f>
        <v>0</v>
      </c>
      <c r="CX64" s="269">
        <f>+CX$3-SUM(AV$4:AV64)</f>
        <v>0</v>
      </c>
      <c r="CY64" s="908">
        <f>+CY$3-SUM(AW$4:AW64)-667256146.32</f>
        <v>0</v>
      </c>
      <c r="CZ64" s="269">
        <f>+CZ$3-SUM(AX$4:AX64)</f>
        <v>1038500000</v>
      </c>
      <c r="DA64" s="269">
        <f>+DA$3-SUM(AY$4:AY64)</f>
        <v>500000000</v>
      </c>
      <c r="DB64" s="269">
        <f>+DB$3-SUM(AZ$4:AZ64)</f>
        <v>0</v>
      </c>
      <c r="DC64" s="908">
        <f>+DC$3-SUM(BA$4:BA64)-137424539.23</f>
        <v>0</v>
      </c>
      <c r="DD64" s="908">
        <f>+DD$3-SUM(BB$4:BB64)-18926732.95</f>
        <v>0</v>
      </c>
      <c r="DE64" s="269">
        <f>+DE$3-SUM(BC$4:BC64)</f>
        <v>0</v>
      </c>
      <c r="DF64" s="908">
        <f>+DF$3-SUM(BD$4:BD64)-74884030.36</f>
        <v>0</v>
      </c>
      <c r="DG64" s="908">
        <f>+DG$3-SUM(BE$4:BE64)-46082480.22</f>
        <v>0</v>
      </c>
      <c r="DH64" s="908">
        <f>+DH$3-SUM(BF$4:BF64)-57603100.28</f>
        <v>0</v>
      </c>
      <c r="DI64" s="908">
        <f>+DI$3-SUM(BG$4:BG64)-173632202.26</f>
        <v>0</v>
      </c>
      <c r="DJ64" s="908">
        <f>+DJ$3-SUM(BH$4:BH64)-16458028.65</f>
        <v>0</v>
      </c>
    </row>
    <row r="65" spans="1:114">
      <c r="A65" s="75">
        <v>40897</v>
      </c>
      <c r="B65" s="76">
        <f t="shared" si="79"/>
        <v>0</v>
      </c>
      <c r="C65" s="76">
        <f t="shared" ref="C65:Q68" si="83">+C152</f>
        <v>0</v>
      </c>
      <c r="D65" s="76">
        <f t="shared" si="83"/>
        <v>0</v>
      </c>
      <c r="E65" s="76">
        <f t="shared" si="83"/>
        <v>0</v>
      </c>
      <c r="F65" s="76">
        <f t="shared" si="83"/>
        <v>667256146.32221091</v>
      </c>
      <c r="G65" s="76">
        <f t="shared" si="83"/>
        <v>1038500000</v>
      </c>
      <c r="H65" s="76">
        <f t="shared" si="83"/>
        <v>500000000</v>
      </c>
      <c r="I65" s="76">
        <f t="shared" si="83"/>
        <v>0</v>
      </c>
      <c r="J65" s="76">
        <f t="shared" si="83"/>
        <v>137424539.22933337</v>
      </c>
      <c r="K65" s="76">
        <f t="shared" si="83"/>
        <v>18926732.947752502</v>
      </c>
      <c r="L65" s="76">
        <f t="shared" si="83"/>
        <v>0</v>
      </c>
      <c r="M65" s="76">
        <f t="shared" si="83"/>
        <v>74884030.358499035</v>
      </c>
      <c r="N65" s="76">
        <f t="shared" si="83"/>
        <v>46082480.220614791</v>
      </c>
      <c r="O65" s="76">
        <f t="shared" si="83"/>
        <v>57603100.275768481</v>
      </c>
      <c r="P65" s="76">
        <f t="shared" si="83"/>
        <v>173632202.25981644</v>
      </c>
      <c r="Q65" s="76">
        <f t="shared" si="83"/>
        <v>16458028.650219567</v>
      </c>
      <c r="S65" s="40">
        <v>40897</v>
      </c>
      <c r="T65" s="82">
        <f t="shared" si="47"/>
        <v>0</v>
      </c>
      <c r="U65" s="82">
        <f t="shared" si="62"/>
        <v>0</v>
      </c>
      <c r="V65" s="82">
        <f t="shared" si="63"/>
        <v>0</v>
      </c>
      <c r="W65" s="82">
        <f t="shared" si="64"/>
        <v>0</v>
      </c>
      <c r="X65" s="82">
        <f t="shared" si="65"/>
        <v>0</v>
      </c>
      <c r="Y65" s="82">
        <f t="shared" si="66"/>
        <v>0</v>
      </c>
      <c r="Z65" s="82">
        <f t="shared" si="67"/>
        <v>0</v>
      </c>
      <c r="AA65" s="82">
        <f t="shared" si="68"/>
        <v>0</v>
      </c>
      <c r="AB65" s="82">
        <f t="shared" si="69"/>
        <v>0</v>
      </c>
      <c r="AC65" s="82">
        <f t="shared" si="70"/>
        <v>0</v>
      </c>
      <c r="AD65" s="82">
        <f t="shared" si="71"/>
        <v>0</v>
      </c>
      <c r="AE65" s="82">
        <f t="shared" si="72"/>
        <v>0</v>
      </c>
      <c r="AF65" s="82">
        <f t="shared" si="73"/>
        <v>0</v>
      </c>
      <c r="AG65" s="82">
        <f t="shared" si="74"/>
        <v>0</v>
      </c>
      <c r="AH65" s="82">
        <f t="shared" si="75"/>
        <v>0</v>
      </c>
      <c r="AI65" s="82">
        <f t="shared" si="76"/>
        <v>0</v>
      </c>
      <c r="AJ65" s="40">
        <v>40897</v>
      </c>
      <c r="AK65" s="187">
        <f t="shared" si="8"/>
        <v>2205756146.3222108</v>
      </c>
      <c r="AL65" s="43">
        <f t="shared" si="9"/>
        <v>2205756146.3222108</v>
      </c>
      <c r="AM65" s="43">
        <f t="shared" si="10"/>
        <v>2343180685.5515442</v>
      </c>
      <c r="AN65" s="43">
        <f t="shared" si="11"/>
        <v>2362107418.4992967</v>
      </c>
      <c r="AO65" s="43">
        <f t="shared" si="12"/>
        <v>9116800396.6952629</v>
      </c>
      <c r="AR65" s="40">
        <v>40897</v>
      </c>
      <c r="AS65" s="63">
        <v>0</v>
      </c>
      <c r="AT65" s="63">
        <v>0</v>
      </c>
      <c r="AU65" s="63">
        <v>0</v>
      </c>
      <c r="AV65" s="63">
        <v>0</v>
      </c>
      <c r="AW65" s="63">
        <v>0</v>
      </c>
      <c r="AX65" s="63">
        <v>0</v>
      </c>
      <c r="AY65" s="63">
        <v>0</v>
      </c>
      <c r="AZ65" s="63">
        <v>0</v>
      </c>
      <c r="BA65" s="63">
        <v>0</v>
      </c>
      <c r="BB65" s="63">
        <v>0</v>
      </c>
      <c r="BC65" s="63">
        <v>0</v>
      </c>
      <c r="BD65" s="63">
        <v>0</v>
      </c>
      <c r="BE65" s="63">
        <v>0</v>
      </c>
      <c r="BF65" s="63">
        <v>0</v>
      </c>
      <c r="BG65" s="63">
        <v>0</v>
      </c>
      <c r="BH65" s="63">
        <v>0</v>
      </c>
      <c r="BJ65" s="40">
        <v>40897</v>
      </c>
      <c r="BK65" s="43">
        <f t="shared" si="13"/>
        <v>0</v>
      </c>
      <c r="BL65" s="43">
        <f t="shared" si="14"/>
        <v>0</v>
      </c>
      <c r="BM65" s="43">
        <f t="shared" si="15"/>
        <v>0</v>
      </c>
      <c r="BN65" s="43">
        <f t="shared" si="16"/>
        <v>0</v>
      </c>
      <c r="BO65" s="43">
        <f t="shared" si="17"/>
        <v>0</v>
      </c>
      <c r="BP65" s="43">
        <f t="shared" si="18"/>
        <v>0</v>
      </c>
      <c r="BQ65" s="43">
        <f t="shared" si="19"/>
        <v>0</v>
      </c>
      <c r="BR65" s="43">
        <f t="shared" si="20"/>
        <v>0</v>
      </c>
      <c r="BS65" s="43">
        <f t="shared" si="21"/>
        <v>0</v>
      </c>
      <c r="BT65" s="43">
        <f t="shared" si="22"/>
        <v>0</v>
      </c>
      <c r="BU65" s="43">
        <f t="shared" si="23"/>
        <v>0</v>
      </c>
      <c r="BV65" s="43">
        <f t="shared" si="24"/>
        <v>0</v>
      </c>
      <c r="BW65" s="43">
        <f t="shared" si="25"/>
        <v>0</v>
      </c>
      <c r="BX65" s="43">
        <f t="shared" si="26"/>
        <v>0</v>
      </c>
      <c r="BY65" s="43">
        <f t="shared" si="27"/>
        <v>0</v>
      </c>
      <c r="BZ65" s="43">
        <f t="shared" si="28"/>
        <v>0</v>
      </c>
      <c r="CA65" s="40">
        <v>40897</v>
      </c>
      <c r="CB65" s="43">
        <f t="shared" si="82"/>
        <v>0</v>
      </c>
      <c r="CC65" s="43">
        <f t="shared" si="82"/>
        <v>0</v>
      </c>
      <c r="CD65" s="43">
        <f t="shared" si="82"/>
        <v>0</v>
      </c>
      <c r="CE65" s="43">
        <f t="shared" si="82"/>
        <v>0</v>
      </c>
      <c r="CF65" s="43">
        <f t="shared" si="82"/>
        <v>0</v>
      </c>
      <c r="CG65" s="43">
        <f t="shared" si="82"/>
        <v>0</v>
      </c>
      <c r="CH65" s="43">
        <f t="shared" si="82"/>
        <v>0</v>
      </c>
      <c r="CI65" s="43">
        <f t="shared" si="82"/>
        <v>0</v>
      </c>
      <c r="CJ65" s="43">
        <f t="shared" si="82"/>
        <v>0</v>
      </c>
      <c r="CK65" s="43">
        <f t="shared" si="82"/>
        <v>0</v>
      </c>
      <c r="CL65" s="43">
        <f t="shared" si="82"/>
        <v>0</v>
      </c>
      <c r="CM65" s="43">
        <f t="shared" si="82"/>
        <v>0</v>
      </c>
      <c r="CN65" s="43">
        <f t="shared" si="82"/>
        <v>0</v>
      </c>
      <c r="CO65" s="43">
        <f t="shared" si="82"/>
        <v>0</v>
      </c>
      <c r="CP65" s="43">
        <f t="shared" si="82"/>
        <v>0</v>
      </c>
      <c r="CQ65" s="43">
        <f t="shared" si="61"/>
        <v>0</v>
      </c>
      <c r="CR65" s="64">
        <f t="shared" si="45"/>
        <v>0</v>
      </c>
      <c r="CT65" s="40">
        <v>40897</v>
      </c>
      <c r="CU65" s="269">
        <f>+CU$3-SUM(AS$4:AS65)</f>
        <v>0</v>
      </c>
      <c r="CV65" s="269">
        <f>+CV$3-SUM(AT$4:AT65)</f>
        <v>1.0000050067901611E-2</v>
      </c>
      <c r="CW65" s="269">
        <f>+CW$3-SUM(AU$4:AU65)</f>
        <v>0</v>
      </c>
      <c r="CX65" s="269">
        <f>+CX$3-SUM(AV$4:AV65)</f>
        <v>0</v>
      </c>
      <c r="CY65" s="908">
        <f>+CY$3-SUM(AW$4:AW65)-667256146.32</f>
        <v>0</v>
      </c>
      <c r="CZ65" s="269">
        <f>+CZ$3-SUM(AX$4:AX65)</f>
        <v>1038500000</v>
      </c>
      <c r="DA65" s="269">
        <f>+DA$3-SUM(AY$4:AY65)</f>
        <v>500000000</v>
      </c>
      <c r="DB65" s="269">
        <f>+DB$3-SUM(AZ$4:AZ65)</f>
        <v>0</v>
      </c>
      <c r="DC65" s="908">
        <f>+DC$3-SUM(BA$4:BA65)-137424539.23</f>
        <v>0</v>
      </c>
      <c r="DD65" s="908">
        <f>+DD$3-SUM(BB$4:BB65)-18926732.95</f>
        <v>0</v>
      </c>
      <c r="DE65" s="269">
        <f>+DE$3-SUM(BC$4:BC65)</f>
        <v>0</v>
      </c>
      <c r="DF65" s="908">
        <f>+DF$3-SUM(BD$4:BD65)-74884030.36</f>
        <v>0</v>
      </c>
      <c r="DG65" s="908">
        <f>+DG$3-SUM(BE$4:BE65)-46082480.22</f>
        <v>0</v>
      </c>
      <c r="DH65" s="908">
        <f>+DH$3-SUM(BF$4:BF65)-57603100.28</f>
        <v>0</v>
      </c>
      <c r="DI65" s="908">
        <f>+DI$3-SUM(BG$4:BG65)-173632202.26</f>
        <v>0</v>
      </c>
      <c r="DJ65" s="908">
        <f>+DJ$3-SUM(BH$4:BH65)-16458028.65</f>
        <v>0</v>
      </c>
    </row>
    <row r="66" spans="1:114">
      <c r="A66" s="75">
        <v>40928</v>
      </c>
      <c r="B66" s="76">
        <f t="shared" si="79"/>
        <v>0</v>
      </c>
      <c r="C66" s="76">
        <f t="shared" si="83"/>
        <v>0</v>
      </c>
      <c r="D66" s="76">
        <f t="shared" si="83"/>
        <v>0</v>
      </c>
      <c r="E66" s="76">
        <f t="shared" si="83"/>
        <v>0</v>
      </c>
      <c r="F66" s="76">
        <f t="shared" si="83"/>
        <v>667256146.32221091</v>
      </c>
      <c r="G66" s="76">
        <f t="shared" si="83"/>
        <v>1038500000</v>
      </c>
      <c r="H66" s="76">
        <f t="shared" si="83"/>
        <v>500000000</v>
      </c>
      <c r="I66" s="76">
        <f t="shared" si="83"/>
        <v>0</v>
      </c>
      <c r="J66" s="76">
        <f t="shared" si="83"/>
        <v>137424539.22933337</v>
      </c>
      <c r="K66" s="76">
        <f t="shared" si="83"/>
        <v>18926732.947752502</v>
      </c>
      <c r="L66" s="76">
        <f t="shared" si="83"/>
        <v>0</v>
      </c>
      <c r="M66" s="76">
        <f t="shared" si="83"/>
        <v>74884030.358499035</v>
      </c>
      <c r="N66" s="76">
        <f t="shared" si="83"/>
        <v>46082480.220614791</v>
      </c>
      <c r="O66" s="76">
        <f t="shared" si="83"/>
        <v>57603100.275768481</v>
      </c>
      <c r="P66" s="76">
        <f t="shared" si="83"/>
        <v>173632202.25981644</v>
      </c>
      <c r="Q66" s="76">
        <f t="shared" si="83"/>
        <v>16458028.650219567</v>
      </c>
      <c r="S66" s="40">
        <v>40928</v>
      </c>
      <c r="T66" s="82">
        <f t="shared" si="47"/>
        <v>0</v>
      </c>
      <c r="U66" s="82">
        <f t="shared" si="62"/>
        <v>0</v>
      </c>
      <c r="V66" s="82">
        <f t="shared" si="63"/>
        <v>0</v>
      </c>
      <c r="W66" s="82">
        <f t="shared" si="64"/>
        <v>0</v>
      </c>
      <c r="X66" s="82">
        <f t="shared" si="65"/>
        <v>0</v>
      </c>
      <c r="Y66" s="82">
        <f t="shared" si="66"/>
        <v>0</v>
      </c>
      <c r="Z66" s="82">
        <f t="shared" si="67"/>
        <v>0</v>
      </c>
      <c r="AA66" s="82">
        <f t="shared" si="68"/>
        <v>0</v>
      </c>
      <c r="AB66" s="82">
        <f t="shared" si="69"/>
        <v>0</v>
      </c>
      <c r="AC66" s="82">
        <f t="shared" si="70"/>
        <v>0</v>
      </c>
      <c r="AD66" s="82">
        <f t="shared" si="71"/>
        <v>0</v>
      </c>
      <c r="AE66" s="82">
        <f t="shared" si="72"/>
        <v>0</v>
      </c>
      <c r="AF66" s="82">
        <f t="shared" si="73"/>
        <v>0</v>
      </c>
      <c r="AG66" s="82">
        <f t="shared" si="74"/>
        <v>0</v>
      </c>
      <c r="AH66" s="82">
        <f t="shared" si="75"/>
        <v>0</v>
      </c>
      <c r="AI66" s="82">
        <f t="shared" si="76"/>
        <v>0</v>
      </c>
      <c r="AJ66" s="40">
        <v>40928</v>
      </c>
      <c r="AK66" s="187">
        <f t="shared" si="8"/>
        <v>2205756146.3222108</v>
      </c>
      <c r="AL66" s="43">
        <f t="shared" si="9"/>
        <v>2205756146.3222108</v>
      </c>
      <c r="AM66" s="43">
        <f t="shared" si="10"/>
        <v>2343180685.5515442</v>
      </c>
      <c r="AN66" s="43">
        <f t="shared" si="11"/>
        <v>2362107418.4992967</v>
      </c>
      <c r="AO66" s="43">
        <f t="shared" si="12"/>
        <v>9116800396.6952629</v>
      </c>
      <c r="AR66" s="40">
        <v>40928</v>
      </c>
      <c r="AS66" s="63">
        <v>0</v>
      </c>
      <c r="AT66" s="63">
        <v>0</v>
      </c>
      <c r="AU66" s="63">
        <v>0</v>
      </c>
      <c r="AV66" s="63">
        <v>0</v>
      </c>
      <c r="AW66" s="63">
        <v>0</v>
      </c>
      <c r="AX66" s="63">
        <v>0</v>
      </c>
      <c r="AY66" s="63">
        <v>0</v>
      </c>
      <c r="AZ66" s="63">
        <v>0</v>
      </c>
      <c r="BA66" s="63">
        <v>0</v>
      </c>
      <c r="BB66" s="63">
        <v>0</v>
      </c>
      <c r="BC66" s="63">
        <v>0</v>
      </c>
      <c r="BD66" s="63">
        <v>0</v>
      </c>
      <c r="BE66" s="63">
        <v>0</v>
      </c>
      <c r="BF66" s="63">
        <v>0</v>
      </c>
      <c r="BG66" s="63">
        <v>0</v>
      </c>
      <c r="BH66" s="63">
        <v>0</v>
      </c>
      <c r="BJ66" s="40">
        <v>40928</v>
      </c>
      <c r="BK66" s="43">
        <f t="shared" si="13"/>
        <v>0</v>
      </c>
      <c r="BL66" s="43">
        <f t="shared" si="14"/>
        <v>0</v>
      </c>
      <c r="BM66" s="43">
        <f t="shared" si="15"/>
        <v>0</v>
      </c>
      <c r="BN66" s="43">
        <f t="shared" si="16"/>
        <v>0</v>
      </c>
      <c r="BO66" s="43">
        <f t="shared" si="17"/>
        <v>0</v>
      </c>
      <c r="BP66" s="43">
        <f t="shared" si="18"/>
        <v>0</v>
      </c>
      <c r="BQ66" s="43">
        <f t="shared" si="19"/>
        <v>0</v>
      </c>
      <c r="BR66" s="43">
        <f t="shared" si="20"/>
        <v>0</v>
      </c>
      <c r="BS66" s="43">
        <f t="shared" si="21"/>
        <v>0</v>
      </c>
      <c r="BT66" s="43">
        <f t="shared" si="22"/>
        <v>0</v>
      </c>
      <c r="BU66" s="43">
        <f t="shared" si="23"/>
        <v>0</v>
      </c>
      <c r="BV66" s="43">
        <f t="shared" si="24"/>
        <v>0</v>
      </c>
      <c r="BW66" s="43">
        <f t="shared" si="25"/>
        <v>0</v>
      </c>
      <c r="BX66" s="43">
        <f t="shared" si="26"/>
        <v>0</v>
      </c>
      <c r="BY66" s="43">
        <f t="shared" si="27"/>
        <v>0</v>
      </c>
      <c r="BZ66" s="43">
        <f t="shared" si="28"/>
        <v>0</v>
      </c>
      <c r="CA66" s="40">
        <v>40928</v>
      </c>
      <c r="CB66" s="43">
        <f t="shared" si="82"/>
        <v>0</v>
      </c>
      <c r="CC66" s="43">
        <f t="shared" si="82"/>
        <v>0</v>
      </c>
      <c r="CD66" s="43">
        <f t="shared" si="82"/>
        <v>0</v>
      </c>
      <c r="CE66" s="43">
        <f t="shared" si="82"/>
        <v>0</v>
      </c>
      <c r="CF66" s="43">
        <f t="shared" si="82"/>
        <v>0</v>
      </c>
      <c r="CG66" s="43">
        <f t="shared" si="82"/>
        <v>0</v>
      </c>
      <c r="CH66" s="43">
        <f t="shared" si="82"/>
        <v>0</v>
      </c>
      <c r="CI66" s="43">
        <f t="shared" si="82"/>
        <v>0</v>
      </c>
      <c r="CJ66" s="43">
        <f t="shared" si="82"/>
        <v>0</v>
      </c>
      <c r="CK66" s="43">
        <f t="shared" si="82"/>
        <v>0</v>
      </c>
      <c r="CL66" s="43">
        <f t="shared" si="82"/>
        <v>0</v>
      </c>
      <c r="CM66" s="43">
        <f t="shared" si="82"/>
        <v>0</v>
      </c>
      <c r="CN66" s="43">
        <f t="shared" si="82"/>
        <v>0</v>
      </c>
      <c r="CO66" s="43">
        <f t="shared" si="82"/>
        <v>0</v>
      </c>
      <c r="CP66" s="43">
        <f t="shared" si="82"/>
        <v>0</v>
      </c>
      <c r="CQ66" s="43">
        <f t="shared" si="61"/>
        <v>0</v>
      </c>
      <c r="CR66" s="64">
        <f t="shared" si="45"/>
        <v>0</v>
      </c>
      <c r="CT66" s="40">
        <v>40928</v>
      </c>
      <c r="CU66" s="269">
        <f>+CU$3-SUM(AS$4:AS66)</f>
        <v>0</v>
      </c>
      <c r="CV66" s="269">
        <f>+CV$3-SUM(AT$4:AT66)</f>
        <v>1.0000050067901611E-2</v>
      </c>
      <c r="CW66" s="269">
        <f>+CW$3-SUM(AU$4:AU66)</f>
        <v>0</v>
      </c>
      <c r="CX66" s="269">
        <f>+CX$3-SUM(AV$4:AV66)</f>
        <v>0</v>
      </c>
      <c r="CY66" s="908">
        <f>+CY$3-SUM(AW$4:AW66)-667256146.32</f>
        <v>0</v>
      </c>
      <c r="CZ66" s="269">
        <f>+CZ$3-SUM(AX$4:AX66)</f>
        <v>1038500000</v>
      </c>
      <c r="DA66" s="269">
        <f>+DA$3-SUM(AY$4:AY66)</f>
        <v>500000000</v>
      </c>
      <c r="DB66" s="269">
        <f>+DB$3-SUM(AZ$4:AZ66)</f>
        <v>0</v>
      </c>
      <c r="DC66" s="908">
        <f>+DC$3-SUM(BA$4:BA66)-137424539.23</f>
        <v>0</v>
      </c>
      <c r="DD66" s="908">
        <f>+DD$3-SUM(BB$4:BB66)-18926732.95</f>
        <v>0</v>
      </c>
      <c r="DE66" s="269">
        <f>+DE$3-SUM(BC$4:BC66)</f>
        <v>0</v>
      </c>
      <c r="DF66" s="908">
        <f>+DF$3-SUM(BD$4:BD66)-74884030.36</f>
        <v>0</v>
      </c>
      <c r="DG66" s="908">
        <f>+DG$3-SUM(BE$4:BE66)-46082480.22</f>
        <v>0</v>
      </c>
      <c r="DH66" s="908">
        <f>+DH$3-SUM(BF$4:BF66)-57603100.28</f>
        <v>0</v>
      </c>
      <c r="DI66" s="908">
        <f>+DI$3-SUM(BG$4:BG66)-173632202.26</f>
        <v>0</v>
      </c>
      <c r="DJ66" s="908">
        <f>+DJ$3-SUM(BH$4:BH66)-16458028.65</f>
        <v>0</v>
      </c>
    </row>
    <row r="67" spans="1:114">
      <c r="A67" s="75">
        <v>40960</v>
      </c>
      <c r="B67" s="76">
        <f t="shared" si="79"/>
        <v>0</v>
      </c>
      <c r="C67" s="76">
        <f t="shared" si="83"/>
        <v>0</v>
      </c>
      <c r="D67" s="76">
        <f t="shared" si="83"/>
        <v>0</v>
      </c>
      <c r="E67" s="76">
        <f t="shared" si="83"/>
        <v>0</v>
      </c>
      <c r="F67" s="76">
        <f t="shared" si="83"/>
        <v>0</v>
      </c>
      <c r="G67" s="76">
        <f t="shared" si="83"/>
        <v>839556783.50718832</v>
      </c>
      <c r="H67" s="76">
        <f t="shared" si="83"/>
        <v>500000000</v>
      </c>
      <c r="I67" s="76">
        <f t="shared" si="83"/>
        <v>0</v>
      </c>
      <c r="J67" s="76">
        <f t="shared" si="83"/>
        <v>0</v>
      </c>
      <c r="K67" s="76">
        <f t="shared" si="83"/>
        <v>0</v>
      </c>
      <c r="L67" s="76">
        <f t="shared" si="83"/>
        <v>0</v>
      </c>
      <c r="M67" s="76">
        <f t="shared" si="83"/>
        <v>0</v>
      </c>
      <c r="N67" s="76">
        <f t="shared" si="83"/>
        <v>0</v>
      </c>
      <c r="O67" s="76">
        <f t="shared" si="83"/>
        <v>0</v>
      </c>
      <c r="P67" s="76">
        <f t="shared" si="83"/>
        <v>0</v>
      </c>
      <c r="Q67" s="76">
        <f t="shared" si="83"/>
        <v>0</v>
      </c>
      <c r="S67" s="588">
        <v>40960</v>
      </c>
      <c r="T67" s="589">
        <f t="shared" si="47"/>
        <v>0</v>
      </c>
      <c r="U67" s="589">
        <f t="shared" si="62"/>
        <v>0</v>
      </c>
      <c r="V67" s="589">
        <f t="shared" si="63"/>
        <v>0</v>
      </c>
      <c r="W67" s="589">
        <f t="shared" si="64"/>
        <v>0</v>
      </c>
      <c r="X67" s="589">
        <f>+ROUND(F66-F67,2)-667256146.32</f>
        <v>0</v>
      </c>
      <c r="Y67" s="589">
        <f t="shared" si="66"/>
        <v>198943216.49000001</v>
      </c>
      <c r="Z67" s="589">
        <f t="shared" si="67"/>
        <v>0</v>
      </c>
      <c r="AA67" s="589">
        <f t="shared" si="68"/>
        <v>0</v>
      </c>
      <c r="AB67" s="589">
        <f>+ROUND(J66-J67,2)-137424539.23</f>
        <v>0</v>
      </c>
      <c r="AC67" s="589">
        <f>+ROUND(K66-K67,2)-18926732.95</f>
        <v>0</v>
      </c>
      <c r="AD67" s="589">
        <f t="shared" si="71"/>
        <v>0</v>
      </c>
      <c r="AE67" s="589">
        <f>+ROUND(M66-M67,2)-74884030.36</f>
        <v>0</v>
      </c>
      <c r="AF67" s="589">
        <f>+ROUND(N66-N67,2)-46082480.22</f>
        <v>0</v>
      </c>
      <c r="AG67" s="589">
        <f>+ROUND(O66-O67,2)-57603100.28</f>
        <v>0</v>
      </c>
      <c r="AH67" s="589">
        <f>+ROUND(P66-P67,2)-173632202.26</f>
        <v>0</v>
      </c>
      <c r="AI67" s="589">
        <f>+ROUND(Q66-Q67,2)-16458028.65</f>
        <v>0</v>
      </c>
      <c r="AJ67" s="40">
        <v>40960</v>
      </c>
      <c r="AK67" s="187">
        <f t="shared" si="8"/>
        <v>1339556783.5071883</v>
      </c>
      <c r="AL67" s="43">
        <f t="shared" si="9"/>
        <v>1339556783.5071883</v>
      </c>
      <c r="AM67" s="43">
        <f t="shared" si="10"/>
        <v>1339556783.5071883</v>
      </c>
      <c r="AN67" s="43">
        <f t="shared" si="11"/>
        <v>1339556783.5071883</v>
      </c>
      <c r="AO67" s="43">
        <f t="shared" si="12"/>
        <v>5358227134.0287533</v>
      </c>
      <c r="AR67" s="40">
        <v>40960</v>
      </c>
      <c r="AS67" s="63">
        <v>0</v>
      </c>
      <c r="AT67" s="63">
        <v>0</v>
      </c>
      <c r="AU67" s="63">
        <v>0</v>
      </c>
      <c r="AV67" s="63">
        <v>0</v>
      </c>
      <c r="AW67" s="63">
        <v>0</v>
      </c>
      <c r="AX67" s="85">
        <v>198943216.49000001</v>
      </c>
      <c r="AY67" s="63">
        <v>0</v>
      </c>
      <c r="AZ67" s="63">
        <v>0</v>
      </c>
      <c r="BA67" s="63">
        <v>0</v>
      </c>
      <c r="BB67" s="63">
        <v>0</v>
      </c>
      <c r="BC67" s="63">
        <v>0</v>
      </c>
      <c r="BD67" s="63">
        <v>0</v>
      </c>
      <c r="BE67" s="63">
        <v>0</v>
      </c>
      <c r="BF67" s="63">
        <v>0</v>
      </c>
      <c r="BG67" s="63">
        <v>0</v>
      </c>
      <c r="BH67" s="63">
        <v>0</v>
      </c>
      <c r="BJ67" s="40">
        <v>40960</v>
      </c>
      <c r="BK67" s="43">
        <f t="shared" si="13"/>
        <v>0</v>
      </c>
      <c r="BL67" s="43">
        <f t="shared" si="14"/>
        <v>0</v>
      </c>
      <c r="BM67" s="43">
        <f t="shared" si="15"/>
        <v>0</v>
      </c>
      <c r="BN67" s="43">
        <f t="shared" si="16"/>
        <v>0</v>
      </c>
      <c r="BO67" s="43">
        <f>+X67-AW67</f>
        <v>0</v>
      </c>
      <c r="BP67" s="43">
        <f t="shared" si="18"/>
        <v>0</v>
      </c>
      <c r="BQ67" s="43">
        <f t="shared" si="19"/>
        <v>0</v>
      </c>
      <c r="BR67" s="43">
        <f t="shared" si="20"/>
        <v>0</v>
      </c>
      <c r="BS67" s="43">
        <f t="shared" si="21"/>
        <v>0</v>
      </c>
      <c r="BT67" s="43">
        <f t="shared" si="22"/>
        <v>0</v>
      </c>
      <c r="BU67" s="43">
        <f t="shared" si="23"/>
        <v>0</v>
      </c>
      <c r="BV67" s="43">
        <f t="shared" si="24"/>
        <v>0</v>
      </c>
      <c r="BW67" s="43">
        <f t="shared" si="25"/>
        <v>0</v>
      </c>
      <c r="BX67" s="43">
        <f t="shared" si="26"/>
        <v>0</v>
      </c>
      <c r="BY67" s="43">
        <f t="shared" si="27"/>
        <v>0</v>
      </c>
      <c r="BZ67" s="43">
        <f t="shared" si="28"/>
        <v>0</v>
      </c>
      <c r="CA67" s="40">
        <v>40960</v>
      </c>
      <c r="CB67" s="43">
        <f t="shared" si="82"/>
        <v>0</v>
      </c>
      <c r="CC67" s="43">
        <f t="shared" si="82"/>
        <v>0</v>
      </c>
      <c r="CD67" s="43">
        <f t="shared" si="82"/>
        <v>0</v>
      </c>
      <c r="CE67" s="43">
        <f t="shared" si="82"/>
        <v>0</v>
      </c>
      <c r="CF67" s="43">
        <f t="shared" si="82"/>
        <v>0</v>
      </c>
      <c r="CG67" s="43">
        <f t="shared" si="82"/>
        <v>0</v>
      </c>
      <c r="CH67" s="43">
        <f t="shared" si="82"/>
        <v>0</v>
      </c>
      <c r="CI67" s="43">
        <f t="shared" si="82"/>
        <v>0</v>
      </c>
      <c r="CJ67" s="43">
        <f t="shared" si="82"/>
        <v>0</v>
      </c>
      <c r="CK67" s="43">
        <f t="shared" si="82"/>
        <v>0</v>
      </c>
      <c r="CL67" s="43">
        <f t="shared" si="82"/>
        <v>0</v>
      </c>
      <c r="CM67" s="43">
        <f t="shared" si="82"/>
        <v>0</v>
      </c>
      <c r="CN67" s="43">
        <f t="shared" si="82"/>
        <v>0</v>
      </c>
      <c r="CO67" s="43">
        <f t="shared" si="82"/>
        <v>0</v>
      </c>
      <c r="CP67" s="43">
        <f t="shared" si="82"/>
        <v>0</v>
      </c>
      <c r="CQ67" s="43">
        <f t="shared" si="61"/>
        <v>0</v>
      </c>
      <c r="CR67" s="64">
        <f t="shared" si="45"/>
        <v>0</v>
      </c>
      <c r="CT67" s="40">
        <v>40960</v>
      </c>
      <c r="CU67" s="269">
        <f>+CU$3-SUM(AS$4:AS67)</f>
        <v>0</v>
      </c>
      <c r="CV67" s="269">
        <f>+CV$3-SUM(AT$4:AT67)</f>
        <v>1.0000050067901611E-2</v>
      </c>
      <c r="CW67" s="269">
        <f>+CW$3-SUM(AU$4:AU67)</f>
        <v>0</v>
      </c>
      <c r="CX67" s="269">
        <f>+CX$3-SUM(AV$4:AV67)</f>
        <v>0</v>
      </c>
      <c r="CY67" s="908">
        <f>+CY$3-SUM(AW$4:AW67)-667256146.32</f>
        <v>0</v>
      </c>
      <c r="CZ67" s="269">
        <f>+CZ$3-SUM(AX$4:AX67)</f>
        <v>839556783.50999999</v>
      </c>
      <c r="DA67" s="269">
        <f>+DA$3-SUM(AY$4:AY67)</f>
        <v>500000000</v>
      </c>
      <c r="DB67" s="269">
        <f>+DB$3-SUM(AZ$4:AZ67)</f>
        <v>0</v>
      </c>
      <c r="DC67" s="908">
        <f>+DC$3-SUM(BA$4:BA67)-137424539.23</f>
        <v>0</v>
      </c>
      <c r="DD67" s="908">
        <f>+DD$3-SUM(BB$4:BB67)-18926732.95</f>
        <v>0</v>
      </c>
      <c r="DE67" s="269">
        <f>+DE$3-SUM(BC$4:BC67)</f>
        <v>0</v>
      </c>
      <c r="DF67" s="908">
        <f>+DF$3-SUM(BD$4:BD67)-74884030.36</f>
        <v>0</v>
      </c>
      <c r="DG67" s="908">
        <f>+DG$3-SUM(BE$4:BE67)-46082480.22</f>
        <v>0</v>
      </c>
      <c r="DH67" s="908">
        <f>+DH$3-SUM(BF$4:BF67)-57603100.28</f>
        <v>0</v>
      </c>
      <c r="DI67" s="908">
        <f>+DI$3-SUM(BG$4:BG67)-173632202.26</f>
        <v>0</v>
      </c>
      <c r="DJ67" s="908">
        <f>+DJ$3-SUM(BH$4:BH67)-16458028.65</f>
        <v>0</v>
      </c>
    </row>
    <row r="68" spans="1:114">
      <c r="A68" s="75">
        <v>40988</v>
      </c>
      <c r="B68" s="76">
        <f>+B155</f>
        <v>0</v>
      </c>
      <c r="C68" s="76">
        <f t="shared" si="83"/>
        <v>0</v>
      </c>
      <c r="D68" s="76">
        <f t="shared" si="83"/>
        <v>0</v>
      </c>
      <c r="E68" s="76">
        <f t="shared" si="83"/>
        <v>0</v>
      </c>
      <c r="F68" s="76">
        <f t="shared" si="83"/>
        <v>0</v>
      </c>
      <c r="G68" s="76">
        <f t="shared" si="83"/>
        <v>839556783.50718832</v>
      </c>
      <c r="H68" s="76">
        <f t="shared" si="83"/>
        <v>500000000</v>
      </c>
      <c r="I68" s="76">
        <f t="shared" si="83"/>
        <v>0</v>
      </c>
      <c r="J68" s="76">
        <f t="shared" si="83"/>
        <v>0</v>
      </c>
      <c r="K68" s="76">
        <f t="shared" si="83"/>
        <v>0</v>
      </c>
      <c r="L68" s="76">
        <f t="shared" si="83"/>
        <v>0</v>
      </c>
      <c r="M68" s="76">
        <f t="shared" si="83"/>
        <v>0</v>
      </c>
      <c r="N68" s="76">
        <f t="shared" si="83"/>
        <v>0</v>
      </c>
      <c r="O68" s="76">
        <f t="shared" si="83"/>
        <v>0</v>
      </c>
      <c r="P68" s="76">
        <f t="shared" si="83"/>
        <v>0</v>
      </c>
      <c r="Q68" s="76">
        <f t="shared" si="83"/>
        <v>0</v>
      </c>
      <c r="S68" s="40">
        <v>40988</v>
      </c>
      <c r="T68" s="82">
        <f t="shared" si="47"/>
        <v>0</v>
      </c>
      <c r="U68" s="82">
        <f t="shared" si="62"/>
        <v>0</v>
      </c>
      <c r="V68" s="82">
        <f t="shared" si="63"/>
        <v>0</v>
      </c>
      <c r="W68" s="82">
        <f t="shared" si="64"/>
        <v>0</v>
      </c>
      <c r="X68" s="82">
        <f t="shared" si="65"/>
        <v>0</v>
      </c>
      <c r="Y68" s="82">
        <f t="shared" si="66"/>
        <v>0</v>
      </c>
      <c r="Z68" s="82">
        <f t="shared" si="67"/>
        <v>0</v>
      </c>
      <c r="AA68" s="82">
        <f t="shared" si="68"/>
        <v>0</v>
      </c>
      <c r="AB68" s="82">
        <f t="shared" si="69"/>
        <v>0</v>
      </c>
      <c r="AC68" s="82">
        <f t="shared" si="70"/>
        <v>0</v>
      </c>
      <c r="AD68" s="82">
        <f t="shared" si="71"/>
        <v>0</v>
      </c>
      <c r="AE68" s="82">
        <f t="shared" si="72"/>
        <v>0</v>
      </c>
      <c r="AF68" s="82">
        <f t="shared" si="73"/>
        <v>0</v>
      </c>
      <c r="AG68" s="82">
        <f t="shared" si="74"/>
        <v>0</v>
      </c>
      <c r="AH68" s="82">
        <f t="shared" si="75"/>
        <v>0</v>
      </c>
      <c r="AI68" s="82">
        <f t="shared" si="76"/>
        <v>0</v>
      </c>
      <c r="AJ68" s="40">
        <v>40988</v>
      </c>
      <c r="AK68" s="187">
        <f t="shared" si="8"/>
        <v>1339556783.5071883</v>
      </c>
      <c r="AL68" s="43">
        <f t="shared" si="9"/>
        <v>1339556783.5071883</v>
      </c>
      <c r="AM68" s="43">
        <f t="shared" si="10"/>
        <v>1339556783.5071883</v>
      </c>
      <c r="AN68" s="43">
        <f t="shared" si="11"/>
        <v>1339556783.5071883</v>
      </c>
      <c r="AO68" s="43">
        <f t="shared" si="12"/>
        <v>5358227134.0287533</v>
      </c>
      <c r="AR68" s="40">
        <v>40988</v>
      </c>
      <c r="AS68" s="63">
        <v>0</v>
      </c>
      <c r="AT68" s="63">
        <v>0</v>
      </c>
      <c r="AU68" s="63">
        <v>0</v>
      </c>
      <c r="AV68" s="63">
        <v>0</v>
      </c>
      <c r="AW68" s="63">
        <v>0</v>
      </c>
      <c r="AX68" s="63">
        <v>0</v>
      </c>
      <c r="AY68" s="63">
        <v>0</v>
      </c>
      <c r="AZ68" s="63">
        <v>0</v>
      </c>
      <c r="BA68" s="63">
        <v>0</v>
      </c>
      <c r="BB68" s="63">
        <v>0</v>
      </c>
      <c r="BC68" s="63">
        <v>0</v>
      </c>
      <c r="BD68" s="63">
        <v>0</v>
      </c>
      <c r="BE68" s="63">
        <v>0</v>
      </c>
      <c r="BF68" s="63">
        <v>0</v>
      </c>
      <c r="BG68" s="63">
        <v>0</v>
      </c>
      <c r="BH68" s="63">
        <v>0</v>
      </c>
      <c r="BJ68" s="40">
        <v>40988</v>
      </c>
      <c r="BK68" s="43">
        <f t="shared" si="13"/>
        <v>0</v>
      </c>
      <c r="BL68" s="43">
        <f t="shared" si="14"/>
        <v>0</v>
      </c>
      <c r="BM68" s="43">
        <f t="shared" si="15"/>
        <v>0</v>
      </c>
      <c r="BN68" s="43">
        <f t="shared" si="16"/>
        <v>0</v>
      </c>
      <c r="BO68" s="43">
        <f t="shared" si="17"/>
        <v>0</v>
      </c>
      <c r="BP68" s="43">
        <f t="shared" si="18"/>
        <v>0</v>
      </c>
      <c r="BQ68" s="43">
        <f t="shared" si="19"/>
        <v>0</v>
      </c>
      <c r="BR68" s="43">
        <f t="shared" si="20"/>
        <v>0</v>
      </c>
      <c r="BS68" s="43">
        <f t="shared" si="21"/>
        <v>0</v>
      </c>
      <c r="BT68" s="43">
        <f t="shared" si="22"/>
        <v>0</v>
      </c>
      <c r="BU68" s="43">
        <f t="shared" si="23"/>
        <v>0</v>
      </c>
      <c r="BV68" s="43">
        <f t="shared" si="24"/>
        <v>0</v>
      </c>
      <c r="BW68" s="43">
        <f t="shared" si="25"/>
        <v>0</v>
      </c>
      <c r="BX68" s="43">
        <f t="shared" si="26"/>
        <v>0</v>
      </c>
      <c r="BY68" s="43">
        <f t="shared" si="27"/>
        <v>0</v>
      </c>
      <c r="BZ68" s="43">
        <f t="shared" si="28"/>
        <v>0</v>
      </c>
      <c r="CA68" s="40">
        <v>40988</v>
      </c>
      <c r="CB68" s="43">
        <f t="shared" si="82"/>
        <v>0</v>
      </c>
      <c r="CC68" s="43">
        <f t="shared" si="82"/>
        <v>0</v>
      </c>
      <c r="CD68" s="43">
        <f t="shared" si="82"/>
        <v>0</v>
      </c>
      <c r="CE68" s="43">
        <f t="shared" si="82"/>
        <v>0</v>
      </c>
      <c r="CF68" s="43">
        <f t="shared" si="82"/>
        <v>0</v>
      </c>
      <c r="CG68" s="43">
        <f t="shared" si="82"/>
        <v>0</v>
      </c>
      <c r="CH68" s="43">
        <f t="shared" si="82"/>
        <v>0</v>
      </c>
      <c r="CI68" s="43">
        <f t="shared" si="82"/>
        <v>0</v>
      </c>
      <c r="CJ68" s="43">
        <f t="shared" si="82"/>
        <v>0</v>
      </c>
      <c r="CK68" s="43">
        <f t="shared" si="82"/>
        <v>0</v>
      </c>
      <c r="CL68" s="43">
        <f t="shared" si="82"/>
        <v>0</v>
      </c>
      <c r="CM68" s="43">
        <f t="shared" si="82"/>
        <v>0</v>
      </c>
      <c r="CN68" s="43">
        <f t="shared" si="82"/>
        <v>0</v>
      </c>
      <c r="CO68" s="43">
        <f t="shared" si="82"/>
        <v>0</v>
      </c>
      <c r="CP68" s="43">
        <f t="shared" si="82"/>
        <v>0</v>
      </c>
      <c r="CQ68" s="43">
        <f t="shared" si="61"/>
        <v>0</v>
      </c>
      <c r="CR68" s="64">
        <f t="shared" si="45"/>
        <v>0</v>
      </c>
      <c r="CT68" s="40">
        <v>40988</v>
      </c>
      <c r="CU68" s="269">
        <f>+CU$3-SUM(AS$4:AS68)</f>
        <v>0</v>
      </c>
      <c r="CV68" s="269">
        <f>+CV$3-SUM(AT$4:AT68)</f>
        <v>1.0000050067901611E-2</v>
      </c>
      <c r="CW68" s="269">
        <f>+CW$3-SUM(AU$4:AU68)</f>
        <v>0</v>
      </c>
      <c r="CX68" s="269">
        <f>+CX$3-SUM(AV$4:AV68)</f>
        <v>0</v>
      </c>
      <c r="CY68" s="908">
        <f>+CY$3-SUM(AW$4:AW68)-667256146.32</f>
        <v>0</v>
      </c>
      <c r="CZ68" s="269">
        <f>+CZ$3-SUM(AX$4:AX68)</f>
        <v>839556783.50999999</v>
      </c>
      <c r="DA68" s="269">
        <f>+DA$3-SUM(AY$4:AY68)</f>
        <v>500000000</v>
      </c>
      <c r="DB68" s="269">
        <f>+DB$3-SUM(AZ$4:AZ68)</f>
        <v>0</v>
      </c>
      <c r="DC68" s="908">
        <f>+DC$3-SUM(BA$4:BA68)-137424539.23</f>
        <v>0</v>
      </c>
      <c r="DD68" s="908">
        <f>+DD$3-SUM(BB$4:BB68)-18926732.95</f>
        <v>0</v>
      </c>
      <c r="DE68" s="269">
        <f>+DE$3-SUM(BC$4:BC68)</f>
        <v>0</v>
      </c>
      <c r="DF68" s="908">
        <f>+DF$3-SUM(BD$4:BD68)-74884030.36</f>
        <v>0</v>
      </c>
      <c r="DG68" s="908">
        <f>+DG$3-SUM(BE$4:BE68)-46082480.22</f>
        <v>0</v>
      </c>
      <c r="DH68" s="908">
        <f>+DH$3-SUM(BF$4:BF68)-57603100.28</f>
        <v>0</v>
      </c>
      <c r="DI68" s="908">
        <f>+DI$3-SUM(BG$4:BG68)-173632202.26</f>
        <v>0</v>
      </c>
      <c r="DJ68" s="908">
        <f>+DJ$3-SUM(BH$4:BH68)-16458028.65</f>
        <v>0</v>
      </c>
    </row>
    <row r="69" spans="1:114">
      <c r="A69" s="75">
        <v>41019</v>
      </c>
      <c r="B69" s="76">
        <f t="shared" ref="B69:Q85" si="84">+B156</f>
        <v>0</v>
      </c>
      <c r="C69" s="76">
        <f t="shared" si="84"/>
        <v>0</v>
      </c>
      <c r="D69" s="76">
        <f t="shared" si="84"/>
        <v>0</v>
      </c>
      <c r="E69" s="76">
        <f t="shared" si="84"/>
        <v>0</v>
      </c>
      <c r="F69" s="76">
        <f t="shared" si="84"/>
        <v>0</v>
      </c>
      <c r="G69" s="76">
        <f t="shared" si="84"/>
        <v>839556783.50718832</v>
      </c>
      <c r="H69" s="76">
        <f t="shared" si="84"/>
        <v>500000000</v>
      </c>
      <c r="I69" s="76">
        <f t="shared" si="84"/>
        <v>0</v>
      </c>
      <c r="J69" s="76">
        <f t="shared" si="84"/>
        <v>0</v>
      </c>
      <c r="K69" s="76">
        <f t="shared" si="84"/>
        <v>0</v>
      </c>
      <c r="L69" s="76">
        <f t="shared" si="84"/>
        <v>0</v>
      </c>
      <c r="M69" s="76">
        <f t="shared" si="84"/>
        <v>0</v>
      </c>
      <c r="N69" s="76">
        <f t="shared" si="84"/>
        <v>0</v>
      </c>
      <c r="O69" s="76">
        <f t="shared" si="84"/>
        <v>0</v>
      </c>
      <c r="P69" s="76">
        <f t="shared" si="84"/>
        <v>0</v>
      </c>
      <c r="Q69" s="76">
        <f t="shared" si="84"/>
        <v>0</v>
      </c>
      <c r="S69" s="40">
        <v>41019</v>
      </c>
      <c r="T69" s="82">
        <f t="shared" si="47"/>
        <v>0</v>
      </c>
      <c r="U69" s="82">
        <f t="shared" si="62"/>
        <v>0</v>
      </c>
      <c r="V69" s="82">
        <f t="shared" si="63"/>
        <v>0</v>
      </c>
      <c r="W69" s="82">
        <f t="shared" si="64"/>
        <v>0</v>
      </c>
      <c r="X69" s="82">
        <f t="shared" si="65"/>
        <v>0</v>
      </c>
      <c r="Y69" s="82">
        <f t="shared" si="66"/>
        <v>0</v>
      </c>
      <c r="Z69" s="82">
        <f t="shared" si="67"/>
        <v>0</v>
      </c>
      <c r="AA69" s="82">
        <f t="shared" si="68"/>
        <v>0</v>
      </c>
      <c r="AB69" s="82">
        <f t="shared" si="69"/>
        <v>0</v>
      </c>
      <c r="AC69" s="82">
        <f t="shared" si="70"/>
        <v>0</v>
      </c>
      <c r="AD69" s="82">
        <f t="shared" si="71"/>
        <v>0</v>
      </c>
      <c r="AE69" s="82">
        <f t="shared" si="72"/>
        <v>0</v>
      </c>
      <c r="AF69" s="82">
        <f t="shared" si="73"/>
        <v>0</v>
      </c>
      <c r="AG69" s="82">
        <f t="shared" si="74"/>
        <v>0</v>
      </c>
      <c r="AH69" s="82">
        <f t="shared" si="75"/>
        <v>0</v>
      </c>
      <c r="AI69" s="82">
        <f t="shared" si="76"/>
        <v>0</v>
      </c>
      <c r="AJ69" s="40">
        <v>41019</v>
      </c>
      <c r="AK69" s="187">
        <f t="shared" ref="AK69:AK85" si="85">+SUM(B69:H69)</f>
        <v>1339556783.5071883</v>
      </c>
      <c r="AL69" s="43">
        <f t="shared" ref="AL69:AL85" si="86">+SUM(C69:I69)</f>
        <v>1339556783.5071883</v>
      </c>
      <c r="AM69" s="43">
        <f t="shared" ref="AM69:AM85" si="87">+SUM(D69:J69)</f>
        <v>1339556783.5071883</v>
      </c>
      <c r="AN69" s="43">
        <f t="shared" ref="AN69:AN85" si="88">+SUM(E69:K69)</f>
        <v>1339556783.5071883</v>
      </c>
      <c r="AO69" s="43">
        <f t="shared" ref="AO69:AO85" si="89">+SUM(AK69:AN69)</f>
        <v>5358227134.0287533</v>
      </c>
      <c r="AR69" s="40">
        <v>41019</v>
      </c>
      <c r="AS69" s="63">
        <v>0</v>
      </c>
      <c r="AT69" s="63">
        <v>0</v>
      </c>
      <c r="AU69" s="63">
        <v>0</v>
      </c>
      <c r="AV69" s="63">
        <v>0</v>
      </c>
      <c r="AW69" s="63">
        <v>0</v>
      </c>
      <c r="AX69" s="63">
        <v>0</v>
      </c>
      <c r="AY69" s="63">
        <v>0</v>
      </c>
      <c r="AZ69" s="63">
        <v>0</v>
      </c>
      <c r="BA69" s="63">
        <v>0</v>
      </c>
      <c r="BB69" s="63">
        <v>0</v>
      </c>
      <c r="BC69" s="63">
        <v>0</v>
      </c>
      <c r="BD69" s="63">
        <v>0</v>
      </c>
      <c r="BE69" s="63">
        <v>0</v>
      </c>
      <c r="BF69" s="63">
        <v>0</v>
      </c>
      <c r="BG69" s="63">
        <v>0</v>
      </c>
      <c r="BH69" s="63">
        <v>0</v>
      </c>
      <c r="BJ69" s="40">
        <v>41019</v>
      </c>
      <c r="BK69" s="43">
        <f t="shared" ref="BK69:BK85" si="90">+T69-AS69</f>
        <v>0</v>
      </c>
      <c r="BL69" s="43">
        <f t="shared" ref="BL69:BL85" si="91">+U69-AT69</f>
        <v>0</v>
      </c>
      <c r="BM69" s="43">
        <f t="shared" ref="BM69:BM85" si="92">+V69-AU69</f>
        <v>0</v>
      </c>
      <c r="BN69" s="43">
        <f t="shared" ref="BN69:BN85" si="93">+W69-AV69</f>
        <v>0</v>
      </c>
      <c r="BO69" s="43">
        <f t="shared" ref="BO69:BO85" si="94">+X69-AW69</f>
        <v>0</v>
      </c>
      <c r="BP69" s="43">
        <f t="shared" ref="BP69:BP85" si="95">+Y69-AX69</f>
        <v>0</v>
      </c>
      <c r="BQ69" s="43">
        <f t="shared" ref="BQ69:BQ85" si="96">+Z69-AY69</f>
        <v>0</v>
      </c>
      <c r="BR69" s="43">
        <f t="shared" ref="BR69:BR85" si="97">+AA69-AZ69</f>
        <v>0</v>
      </c>
      <c r="BS69" s="43">
        <f t="shared" ref="BS69:BS85" si="98">+AB69-BA69</f>
        <v>0</v>
      </c>
      <c r="BT69" s="43">
        <f t="shared" ref="BT69:BT85" si="99">+AC69-BB69</f>
        <v>0</v>
      </c>
      <c r="BU69" s="43">
        <f t="shared" ref="BU69:BU85" si="100">+AD69-BC69</f>
        <v>0</v>
      </c>
      <c r="BV69" s="43">
        <f t="shared" ref="BV69:BV85" si="101">+AE69-BD69</f>
        <v>0</v>
      </c>
      <c r="BW69" s="43">
        <f t="shared" ref="BW69:BW85" si="102">+AF69-BE69</f>
        <v>0</v>
      </c>
      <c r="BX69" s="43">
        <f t="shared" ref="BX69:BX85" si="103">+AG69-BF69</f>
        <v>0</v>
      </c>
      <c r="BY69" s="43">
        <f t="shared" ref="BY69:BY85" si="104">+AH69-BG69</f>
        <v>0</v>
      </c>
      <c r="BZ69" s="43">
        <f t="shared" ref="BZ69:BZ85" si="105">+AI69-BH69</f>
        <v>0</v>
      </c>
      <c r="CA69" s="40">
        <v>41019</v>
      </c>
      <c r="CB69" s="43">
        <f t="shared" si="82"/>
        <v>0</v>
      </c>
      <c r="CC69" s="43">
        <f t="shared" si="82"/>
        <v>0</v>
      </c>
      <c r="CD69" s="43">
        <f t="shared" si="82"/>
        <v>0</v>
      </c>
      <c r="CE69" s="43">
        <f t="shared" si="82"/>
        <v>0</v>
      </c>
      <c r="CF69" s="43">
        <f t="shared" si="82"/>
        <v>0</v>
      </c>
      <c r="CG69" s="43">
        <f t="shared" si="82"/>
        <v>0</v>
      </c>
      <c r="CH69" s="43">
        <f t="shared" si="82"/>
        <v>0</v>
      </c>
      <c r="CI69" s="43">
        <f t="shared" si="82"/>
        <v>0</v>
      </c>
      <c r="CJ69" s="43">
        <f t="shared" si="82"/>
        <v>0</v>
      </c>
      <c r="CK69" s="43">
        <f t="shared" si="82"/>
        <v>0</v>
      </c>
      <c r="CL69" s="43">
        <f t="shared" si="82"/>
        <v>0</v>
      </c>
      <c r="CM69" s="43">
        <f t="shared" si="82"/>
        <v>0</v>
      </c>
      <c r="CN69" s="43">
        <f t="shared" si="82"/>
        <v>0</v>
      </c>
      <c r="CO69" s="43">
        <f t="shared" si="82"/>
        <v>0</v>
      </c>
      <c r="CP69" s="43">
        <f t="shared" si="82"/>
        <v>0</v>
      </c>
      <c r="CQ69" s="43">
        <f t="shared" si="61"/>
        <v>0</v>
      </c>
      <c r="CR69" s="64">
        <f t="shared" ref="CR69:CR85" si="106">+SUM(CB69:CQ69)</f>
        <v>0</v>
      </c>
      <c r="CT69" s="40">
        <v>41019</v>
      </c>
      <c r="CU69" s="269">
        <f>+CU$3-SUM(AS$4:AS69)</f>
        <v>0</v>
      </c>
      <c r="CV69" s="269">
        <f>+CV$3-SUM(AT$4:AT69)</f>
        <v>1.0000050067901611E-2</v>
      </c>
      <c r="CW69" s="269">
        <f>+CW$3-SUM(AU$4:AU69)</f>
        <v>0</v>
      </c>
      <c r="CX69" s="269">
        <f>+CX$3-SUM(AV$4:AV69)</f>
        <v>0</v>
      </c>
      <c r="CY69" s="908">
        <f>+CY$3-SUM(AW$4:AW69)-667256146.32</f>
        <v>0</v>
      </c>
      <c r="CZ69" s="269">
        <f>+CZ$3-SUM(AX$4:AX69)</f>
        <v>839556783.50999999</v>
      </c>
      <c r="DA69" s="269">
        <f>+DA$3-SUM(AY$4:AY69)</f>
        <v>500000000</v>
      </c>
      <c r="DB69" s="269">
        <f>+DB$3-SUM(AZ$4:AZ69)</f>
        <v>0</v>
      </c>
      <c r="DC69" s="908">
        <f>+DC$3-SUM(BA$4:BA69)-137424539.23</f>
        <v>0</v>
      </c>
      <c r="DD69" s="908">
        <f>+DD$3-SUM(BB$4:BB69)-18926732.95</f>
        <v>0</v>
      </c>
      <c r="DE69" s="269">
        <f>+DE$3-SUM(BC$4:BC69)</f>
        <v>0</v>
      </c>
      <c r="DF69" s="908">
        <f>+DF$3-SUM(BD$4:BD69)-74884030.36</f>
        <v>0</v>
      </c>
      <c r="DG69" s="908">
        <f>+DG$3-SUM(BE$4:BE69)-46082480.22</f>
        <v>0</v>
      </c>
      <c r="DH69" s="908">
        <f>+DH$3-SUM(BF$4:BF69)-57603100.28</f>
        <v>0</v>
      </c>
      <c r="DI69" s="908">
        <f>+DI$3-SUM(BG$4:BG69)-173632202.26</f>
        <v>0</v>
      </c>
      <c r="DJ69" s="908">
        <f>+DJ$3-SUM(BH$4:BH69)-16458028.65</f>
        <v>0</v>
      </c>
    </row>
    <row r="70" spans="1:114">
      <c r="A70" s="75">
        <v>41050</v>
      </c>
      <c r="B70" s="76">
        <f t="shared" si="84"/>
        <v>0</v>
      </c>
      <c r="C70" s="76">
        <f t="shared" si="84"/>
        <v>0</v>
      </c>
      <c r="D70" s="76">
        <f t="shared" si="84"/>
        <v>0</v>
      </c>
      <c r="E70" s="76">
        <f t="shared" si="84"/>
        <v>0</v>
      </c>
      <c r="F70" s="76">
        <f t="shared" si="84"/>
        <v>0</v>
      </c>
      <c r="G70" s="76">
        <f t="shared" si="84"/>
        <v>651407905.84100938</v>
      </c>
      <c r="H70" s="76">
        <f t="shared" si="84"/>
        <v>500000000</v>
      </c>
      <c r="I70" s="76">
        <f t="shared" si="84"/>
        <v>0</v>
      </c>
      <c r="J70" s="76">
        <f t="shared" si="84"/>
        <v>0</v>
      </c>
      <c r="K70" s="76">
        <f t="shared" si="84"/>
        <v>0</v>
      </c>
      <c r="L70" s="76">
        <f t="shared" si="84"/>
        <v>0</v>
      </c>
      <c r="M70" s="76">
        <f t="shared" si="84"/>
        <v>0</v>
      </c>
      <c r="N70" s="76">
        <f t="shared" si="84"/>
        <v>0</v>
      </c>
      <c r="O70" s="76">
        <f t="shared" si="84"/>
        <v>0</v>
      </c>
      <c r="P70" s="76">
        <f t="shared" si="84"/>
        <v>0</v>
      </c>
      <c r="Q70" s="76">
        <f t="shared" si="84"/>
        <v>0</v>
      </c>
      <c r="S70" s="1240">
        <v>41050</v>
      </c>
      <c r="T70" s="1241">
        <f t="shared" ref="T70:T86" si="107">+ROUND(B69-B70,2)</f>
        <v>0</v>
      </c>
      <c r="U70" s="1241">
        <f t="shared" si="62"/>
        <v>0</v>
      </c>
      <c r="V70" s="1241">
        <f t="shared" si="63"/>
        <v>0</v>
      </c>
      <c r="W70" s="1241">
        <f t="shared" si="64"/>
        <v>0</v>
      </c>
      <c r="X70" s="1241">
        <f t="shared" si="65"/>
        <v>0</v>
      </c>
      <c r="Y70" s="1241">
        <f t="shared" si="66"/>
        <v>188148877.66999999</v>
      </c>
      <c r="Z70" s="1241">
        <f t="shared" si="67"/>
        <v>0</v>
      </c>
      <c r="AA70" s="1241">
        <f t="shared" si="68"/>
        <v>0</v>
      </c>
      <c r="AB70" s="1241">
        <f t="shared" si="69"/>
        <v>0</v>
      </c>
      <c r="AC70" s="1241">
        <f t="shared" si="70"/>
        <v>0</v>
      </c>
      <c r="AD70" s="1241">
        <f t="shared" si="71"/>
        <v>0</v>
      </c>
      <c r="AE70" s="1241">
        <f t="shared" si="72"/>
        <v>0</v>
      </c>
      <c r="AF70" s="1241">
        <f t="shared" si="73"/>
        <v>0</v>
      </c>
      <c r="AG70" s="1241">
        <f t="shared" si="74"/>
        <v>0</v>
      </c>
      <c r="AH70" s="1241">
        <f t="shared" si="75"/>
        <v>0</v>
      </c>
      <c r="AI70" s="1241">
        <f t="shared" si="76"/>
        <v>0</v>
      </c>
      <c r="AJ70" s="40">
        <v>41050</v>
      </c>
      <c r="AK70" s="187">
        <f t="shared" si="85"/>
        <v>1151407905.8410094</v>
      </c>
      <c r="AL70" s="43">
        <f t="shared" si="86"/>
        <v>1151407905.8410094</v>
      </c>
      <c r="AM70" s="43">
        <f t="shared" si="87"/>
        <v>1151407905.8410094</v>
      </c>
      <c r="AN70" s="43">
        <f t="shared" si="88"/>
        <v>1151407905.8410094</v>
      </c>
      <c r="AO70" s="43">
        <f t="shared" si="89"/>
        <v>4605631623.3640375</v>
      </c>
      <c r="AR70" s="40">
        <v>41050</v>
      </c>
      <c r="AS70" s="63">
        <v>0</v>
      </c>
      <c r="AT70" s="63">
        <v>0</v>
      </c>
      <c r="AU70" s="63">
        <v>0</v>
      </c>
      <c r="AV70" s="63">
        <v>0</v>
      </c>
      <c r="AW70" s="63">
        <v>0</v>
      </c>
      <c r="AX70" s="85">
        <v>188148877.66999999</v>
      </c>
      <c r="AY70" s="63">
        <v>0</v>
      </c>
      <c r="AZ70" s="63">
        <v>0</v>
      </c>
      <c r="BA70" s="63">
        <v>0</v>
      </c>
      <c r="BB70" s="63">
        <v>0</v>
      </c>
      <c r="BC70" s="63">
        <v>0</v>
      </c>
      <c r="BD70" s="63">
        <v>0</v>
      </c>
      <c r="BE70" s="63">
        <v>0</v>
      </c>
      <c r="BF70" s="63">
        <v>0</v>
      </c>
      <c r="BG70" s="63">
        <v>0</v>
      </c>
      <c r="BH70" s="63">
        <v>0</v>
      </c>
      <c r="BJ70" s="40">
        <v>41050</v>
      </c>
      <c r="BK70" s="43">
        <f t="shared" si="90"/>
        <v>0</v>
      </c>
      <c r="BL70" s="43">
        <f t="shared" si="91"/>
        <v>0</v>
      </c>
      <c r="BM70" s="43">
        <f t="shared" si="92"/>
        <v>0</v>
      </c>
      <c r="BN70" s="43">
        <f t="shared" si="93"/>
        <v>0</v>
      </c>
      <c r="BO70" s="43">
        <f t="shared" si="94"/>
        <v>0</v>
      </c>
      <c r="BP70" s="43">
        <f t="shared" si="95"/>
        <v>0</v>
      </c>
      <c r="BQ70" s="43">
        <f t="shared" si="96"/>
        <v>0</v>
      </c>
      <c r="BR70" s="43">
        <f t="shared" si="97"/>
        <v>0</v>
      </c>
      <c r="BS70" s="43">
        <f t="shared" si="98"/>
        <v>0</v>
      </c>
      <c r="BT70" s="43">
        <f t="shared" si="99"/>
        <v>0</v>
      </c>
      <c r="BU70" s="43">
        <f t="shared" si="100"/>
        <v>0</v>
      </c>
      <c r="BV70" s="43">
        <f t="shared" si="101"/>
        <v>0</v>
      </c>
      <c r="BW70" s="43">
        <f t="shared" si="102"/>
        <v>0</v>
      </c>
      <c r="BX70" s="43">
        <f t="shared" si="103"/>
        <v>0</v>
      </c>
      <c r="BY70" s="43">
        <f t="shared" si="104"/>
        <v>0</v>
      </c>
      <c r="BZ70" s="43">
        <f t="shared" si="105"/>
        <v>0</v>
      </c>
      <c r="CA70" s="40">
        <v>41050</v>
      </c>
      <c r="CB70" s="43">
        <f t="shared" si="82"/>
        <v>0</v>
      </c>
      <c r="CC70" s="43">
        <f t="shared" si="82"/>
        <v>0</v>
      </c>
      <c r="CD70" s="43">
        <f t="shared" si="82"/>
        <v>0</v>
      </c>
      <c r="CE70" s="43">
        <f t="shared" si="82"/>
        <v>0</v>
      </c>
      <c r="CF70" s="43">
        <f t="shared" si="82"/>
        <v>0</v>
      </c>
      <c r="CG70" s="43">
        <f t="shared" si="82"/>
        <v>0</v>
      </c>
      <c r="CH70" s="43">
        <f t="shared" si="82"/>
        <v>0</v>
      </c>
      <c r="CI70" s="43">
        <f t="shared" si="82"/>
        <v>0</v>
      </c>
      <c r="CJ70" s="43">
        <f t="shared" si="82"/>
        <v>0</v>
      </c>
      <c r="CK70" s="43">
        <f t="shared" si="82"/>
        <v>0</v>
      </c>
      <c r="CL70" s="43">
        <f t="shared" si="82"/>
        <v>0</v>
      </c>
      <c r="CM70" s="43">
        <f t="shared" si="82"/>
        <v>0</v>
      </c>
      <c r="CN70" s="43">
        <f t="shared" si="82"/>
        <v>0</v>
      </c>
      <c r="CO70" s="43">
        <f t="shared" si="82"/>
        <v>0</v>
      </c>
      <c r="CP70" s="43">
        <f t="shared" si="82"/>
        <v>0</v>
      </c>
      <c r="CQ70" s="43">
        <f t="shared" si="61"/>
        <v>0</v>
      </c>
      <c r="CR70" s="64">
        <f t="shared" si="106"/>
        <v>0</v>
      </c>
      <c r="CT70" s="40">
        <v>41050</v>
      </c>
      <c r="CU70" s="269">
        <f>+CU$3-SUM(AS$4:AS70)</f>
        <v>0</v>
      </c>
      <c r="CV70" s="269">
        <f>+CV$3-SUM(AT$4:AT70)</f>
        <v>1.0000050067901611E-2</v>
      </c>
      <c r="CW70" s="269">
        <f>+CW$3-SUM(AU$4:AU70)</f>
        <v>0</v>
      </c>
      <c r="CX70" s="269">
        <f>+CX$3-SUM(AV$4:AV70)</f>
        <v>0</v>
      </c>
      <c r="CY70" s="908">
        <f>+CY$3-SUM(AW$4:AW70)-667256146.32</f>
        <v>0</v>
      </c>
      <c r="CZ70" s="269">
        <f>+CZ$3-SUM(AX$4:AX70)</f>
        <v>651407905.84000003</v>
      </c>
      <c r="DA70" s="269">
        <f>+DA$3-SUM(AY$4:AY70)</f>
        <v>500000000</v>
      </c>
      <c r="DB70" s="269">
        <f>+DB$3-SUM(AZ$4:AZ70)</f>
        <v>0</v>
      </c>
      <c r="DC70" s="908">
        <f>+DC$3-SUM(BA$4:BA70)-137424539.23</f>
        <v>0</v>
      </c>
      <c r="DD70" s="908">
        <f>+DD$3-SUM(BB$4:BB70)-18926732.95</f>
        <v>0</v>
      </c>
      <c r="DE70" s="269">
        <f>+DE$3-SUM(BC$4:BC70)</f>
        <v>0</v>
      </c>
      <c r="DF70" s="908">
        <f>+DF$3-SUM(BD$4:BD70)-74884030.36</f>
        <v>0</v>
      </c>
      <c r="DG70" s="908">
        <f>+DG$3-SUM(BE$4:BE70)-46082480.22</f>
        <v>0</v>
      </c>
      <c r="DH70" s="908">
        <f>+DH$3-SUM(BF$4:BF70)-57603100.28</f>
        <v>0</v>
      </c>
      <c r="DI70" s="908">
        <f>+DI$3-SUM(BG$4:BG70)-173632202.26</f>
        <v>0</v>
      </c>
      <c r="DJ70" s="908">
        <f>+DJ$3-SUM(BH$4:BH70)-16458028.65</f>
        <v>0</v>
      </c>
    </row>
    <row r="71" spans="1:114">
      <c r="A71" s="75">
        <v>41080</v>
      </c>
      <c r="B71" s="76">
        <f t="shared" si="84"/>
        <v>0</v>
      </c>
      <c r="C71" s="76">
        <f t="shared" si="84"/>
        <v>0</v>
      </c>
      <c r="D71" s="76">
        <f t="shared" si="84"/>
        <v>0</v>
      </c>
      <c r="E71" s="76">
        <f t="shared" si="84"/>
        <v>0</v>
      </c>
      <c r="F71" s="76">
        <f t="shared" si="84"/>
        <v>0</v>
      </c>
      <c r="G71" s="76">
        <f t="shared" si="84"/>
        <v>651407905.84100938</v>
      </c>
      <c r="H71" s="76">
        <f t="shared" si="84"/>
        <v>500000000</v>
      </c>
      <c r="I71" s="76">
        <f t="shared" si="84"/>
        <v>0</v>
      </c>
      <c r="J71" s="76">
        <f t="shared" si="84"/>
        <v>0</v>
      </c>
      <c r="K71" s="76">
        <f t="shared" si="84"/>
        <v>0</v>
      </c>
      <c r="L71" s="76">
        <f t="shared" si="84"/>
        <v>0</v>
      </c>
      <c r="M71" s="76">
        <f t="shared" si="84"/>
        <v>0</v>
      </c>
      <c r="N71" s="76">
        <f t="shared" si="84"/>
        <v>0</v>
      </c>
      <c r="O71" s="76">
        <f t="shared" si="84"/>
        <v>0</v>
      </c>
      <c r="P71" s="76">
        <f t="shared" si="84"/>
        <v>0</v>
      </c>
      <c r="Q71" s="76">
        <f t="shared" si="84"/>
        <v>0</v>
      </c>
      <c r="S71" s="40">
        <v>41080</v>
      </c>
      <c r="T71" s="82">
        <f t="shared" si="107"/>
        <v>0</v>
      </c>
      <c r="U71" s="82">
        <f t="shared" si="62"/>
        <v>0</v>
      </c>
      <c r="V71" s="82">
        <f t="shared" si="63"/>
        <v>0</v>
      </c>
      <c r="W71" s="82">
        <f t="shared" si="64"/>
        <v>0</v>
      </c>
      <c r="X71" s="82">
        <f t="shared" si="65"/>
        <v>0</v>
      </c>
      <c r="Y71" s="82">
        <f t="shared" si="66"/>
        <v>0</v>
      </c>
      <c r="Z71" s="82">
        <f t="shared" si="67"/>
        <v>0</v>
      </c>
      <c r="AA71" s="82">
        <f t="shared" si="68"/>
        <v>0</v>
      </c>
      <c r="AB71" s="82">
        <f t="shared" si="69"/>
        <v>0</v>
      </c>
      <c r="AC71" s="82">
        <f t="shared" si="70"/>
        <v>0</v>
      </c>
      <c r="AD71" s="82">
        <f t="shared" si="71"/>
        <v>0</v>
      </c>
      <c r="AE71" s="82">
        <f t="shared" si="72"/>
        <v>0</v>
      </c>
      <c r="AF71" s="82">
        <f t="shared" si="73"/>
        <v>0</v>
      </c>
      <c r="AG71" s="82">
        <f t="shared" si="74"/>
        <v>0</v>
      </c>
      <c r="AH71" s="82">
        <f t="shared" si="75"/>
        <v>0</v>
      </c>
      <c r="AI71" s="82">
        <f t="shared" si="76"/>
        <v>0</v>
      </c>
      <c r="AJ71" s="40">
        <v>41080</v>
      </c>
      <c r="AK71" s="187">
        <f t="shared" si="85"/>
        <v>1151407905.8410094</v>
      </c>
      <c r="AL71" s="43">
        <f t="shared" si="86"/>
        <v>1151407905.8410094</v>
      </c>
      <c r="AM71" s="43">
        <f t="shared" si="87"/>
        <v>1151407905.8410094</v>
      </c>
      <c r="AN71" s="43">
        <f t="shared" si="88"/>
        <v>1151407905.8410094</v>
      </c>
      <c r="AO71" s="43">
        <f t="shared" si="89"/>
        <v>4605631623.3640375</v>
      </c>
      <c r="AR71" s="40">
        <v>41080</v>
      </c>
      <c r="AS71" s="63">
        <v>0</v>
      </c>
      <c r="AT71" s="63">
        <v>0</v>
      </c>
      <c r="AU71" s="63">
        <v>0</v>
      </c>
      <c r="AV71" s="63">
        <v>0</v>
      </c>
      <c r="AW71" s="63">
        <v>0</v>
      </c>
      <c r="AX71" s="63">
        <v>0</v>
      </c>
      <c r="AY71" s="63">
        <v>0</v>
      </c>
      <c r="AZ71" s="63">
        <v>0</v>
      </c>
      <c r="BA71" s="63">
        <v>0</v>
      </c>
      <c r="BB71" s="63">
        <v>0</v>
      </c>
      <c r="BC71" s="63">
        <v>0</v>
      </c>
      <c r="BD71" s="63">
        <v>0</v>
      </c>
      <c r="BE71" s="63">
        <v>0</v>
      </c>
      <c r="BF71" s="63">
        <v>0</v>
      </c>
      <c r="BG71" s="63">
        <v>0</v>
      </c>
      <c r="BH71" s="63">
        <v>0</v>
      </c>
      <c r="BJ71" s="40">
        <v>41080</v>
      </c>
      <c r="BK71" s="43">
        <f t="shared" si="90"/>
        <v>0</v>
      </c>
      <c r="BL71" s="43">
        <f t="shared" si="91"/>
        <v>0</v>
      </c>
      <c r="BM71" s="43">
        <f t="shared" si="92"/>
        <v>0</v>
      </c>
      <c r="BN71" s="43">
        <f t="shared" si="93"/>
        <v>0</v>
      </c>
      <c r="BO71" s="43">
        <f t="shared" si="94"/>
        <v>0</v>
      </c>
      <c r="BP71" s="43">
        <f t="shared" si="95"/>
        <v>0</v>
      </c>
      <c r="BQ71" s="43">
        <f t="shared" si="96"/>
        <v>0</v>
      </c>
      <c r="BR71" s="43">
        <f t="shared" si="97"/>
        <v>0</v>
      </c>
      <c r="BS71" s="43">
        <f t="shared" si="98"/>
        <v>0</v>
      </c>
      <c r="BT71" s="43">
        <f t="shared" si="99"/>
        <v>0</v>
      </c>
      <c r="BU71" s="43">
        <f t="shared" si="100"/>
        <v>0</v>
      </c>
      <c r="BV71" s="43">
        <f t="shared" si="101"/>
        <v>0</v>
      </c>
      <c r="BW71" s="43">
        <f t="shared" si="102"/>
        <v>0</v>
      </c>
      <c r="BX71" s="43">
        <f t="shared" si="103"/>
        <v>0</v>
      </c>
      <c r="BY71" s="43">
        <f t="shared" si="104"/>
        <v>0</v>
      </c>
      <c r="BZ71" s="43">
        <f t="shared" si="105"/>
        <v>0</v>
      </c>
      <c r="CA71" s="40">
        <v>41080</v>
      </c>
      <c r="CB71" s="43">
        <f t="shared" si="82"/>
        <v>0</v>
      </c>
      <c r="CC71" s="43">
        <f t="shared" si="82"/>
        <v>0</v>
      </c>
      <c r="CD71" s="43">
        <f t="shared" si="82"/>
        <v>0</v>
      </c>
      <c r="CE71" s="43">
        <f t="shared" si="82"/>
        <v>0</v>
      </c>
      <c r="CF71" s="43">
        <f t="shared" si="82"/>
        <v>0</v>
      </c>
      <c r="CG71" s="43">
        <f t="shared" si="82"/>
        <v>0</v>
      </c>
      <c r="CH71" s="43">
        <f t="shared" si="82"/>
        <v>0</v>
      </c>
      <c r="CI71" s="43">
        <f t="shared" si="82"/>
        <v>0</v>
      </c>
      <c r="CJ71" s="43">
        <f t="shared" si="82"/>
        <v>0</v>
      </c>
      <c r="CK71" s="43">
        <f t="shared" si="82"/>
        <v>0</v>
      </c>
      <c r="CL71" s="43">
        <f t="shared" si="82"/>
        <v>0</v>
      </c>
      <c r="CM71" s="43">
        <f t="shared" si="82"/>
        <v>0</v>
      </c>
      <c r="CN71" s="43">
        <f t="shared" si="82"/>
        <v>0</v>
      </c>
      <c r="CO71" s="43">
        <f t="shared" si="82"/>
        <v>0</v>
      </c>
      <c r="CP71" s="43">
        <f t="shared" si="82"/>
        <v>0</v>
      </c>
      <c r="CQ71" s="43">
        <f t="shared" si="61"/>
        <v>0</v>
      </c>
      <c r="CR71" s="64">
        <f t="shared" si="106"/>
        <v>0</v>
      </c>
      <c r="CT71" s="40">
        <v>41080</v>
      </c>
      <c r="CU71" s="269">
        <f>+CU$3-SUM(AS$4:AS71)</f>
        <v>0</v>
      </c>
      <c r="CV71" s="269">
        <f>+CV$3-SUM(AT$4:AT71)</f>
        <v>1.0000050067901611E-2</v>
      </c>
      <c r="CW71" s="269">
        <f>+CW$3-SUM(AU$4:AU71)</f>
        <v>0</v>
      </c>
      <c r="CX71" s="269">
        <f>+CX$3-SUM(AV$4:AV71)</f>
        <v>0</v>
      </c>
      <c r="CY71" s="908">
        <f>+CY$3-SUM(AW$4:AW71)-667256146.32</f>
        <v>0</v>
      </c>
      <c r="CZ71" s="269">
        <f>+CZ$3-SUM(AX$4:AX71)</f>
        <v>651407905.84000003</v>
      </c>
      <c r="DA71" s="269">
        <f>+DA$3-SUM(AY$4:AY71)</f>
        <v>500000000</v>
      </c>
      <c r="DB71" s="269">
        <f>+DB$3-SUM(AZ$4:AZ71)</f>
        <v>0</v>
      </c>
      <c r="DC71" s="908">
        <f>+DC$3-SUM(BA$4:BA71)-137424539.23</f>
        <v>0</v>
      </c>
      <c r="DD71" s="908">
        <f>+DD$3-SUM(BB$4:BB71)-18926732.95</f>
        <v>0</v>
      </c>
      <c r="DE71" s="269">
        <f>+DE$3-SUM(BC$4:BC71)</f>
        <v>0</v>
      </c>
      <c r="DF71" s="908">
        <f>+DF$3-SUM(BD$4:BD71)-74884030.36</f>
        <v>0</v>
      </c>
      <c r="DG71" s="908">
        <f>+DG$3-SUM(BE$4:BE71)-46082480.22</f>
        <v>0</v>
      </c>
      <c r="DH71" s="908">
        <f>+DH$3-SUM(BF$4:BF71)-57603100.28</f>
        <v>0</v>
      </c>
      <c r="DI71" s="908">
        <f>+DI$3-SUM(BG$4:BG71)-173632202.26</f>
        <v>0</v>
      </c>
      <c r="DJ71" s="908">
        <f>+DJ$3-SUM(BH$4:BH71)-16458028.65</f>
        <v>0</v>
      </c>
    </row>
    <row r="72" spans="1:114">
      <c r="A72" s="75">
        <v>41110</v>
      </c>
      <c r="B72" s="76">
        <f t="shared" si="84"/>
        <v>0</v>
      </c>
      <c r="C72" s="76">
        <f t="shared" si="84"/>
        <v>0</v>
      </c>
      <c r="D72" s="76">
        <f t="shared" si="84"/>
        <v>0</v>
      </c>
      <c r="E72" s="76">
        <f t="shared" si="84"/>
        <v>0</v>
      </c>
      <c r="F72" s="76">
        <f t="shared" si="84"/>
        <v>0</v>
      </c>
      <c r="G72" s="76">
        <f t="shared" si="84"/>
        <v>651407905.84100938</v>
      </c>
      <c r="H72" s="76">
        <f t="shared" si="84"/>
        <v>500000000</v>
      </c>
      <c r="I72" s="76">
        <f t="shared" si="84"/>
        <v>0</v>
      </c>
      <c r="J72" s="76">
        <f t="shared" si="84"/>
        <v>0</v>
      </c>
      <c r="K72" s="76">
        <f t="shared" si="84"/>
        <v>0</v>
      </c>
      <c r="L72" s="76">
        <f t="shared" si="84"/>
        <v>0</v>
      </c>
      <c r="M72" s="76">
        <f t="shared" si="84"/>
        <v>0</v>
      </c>
      <c r="N72" s="76">
        <f t="shared" si="84"/>
        <v>0</v>
      </c>
      <c r="O72" s="76">
        <f t="shared" si="84"/>
        <v>0</v>
      </c>
      <c r="P72" s="76">
        <f t="shared" si="84"/>
        <v>0</v>
      </c>
      <c r="Q72" s="76">
        <f t="shared" si="84"/>
        <v>0</v>
      </c>
      <c r="S72" s="40">
        <v>41110</v>
      </c>
      <c r="T72" s="82">
        <f t="shared" si="107"/>
        <v>0</v>
      </c>
      <c r="U72" s="82">
        <f t="shared" si="62"/>
        <v>0</v>
      </c>
      <c r="V72" s="82">
        <f t="shared" si="63"/>
        <v>0</v>
      </c>
      <c r="W72" s="82">
        <f t="shared" si="64"/>
        <v>0</v>
      </c>
      <c r="X72" s="82">
        <f t="shared" si="65"/>
        <v>0</v>
      </c>
      <c r="Y72" s="82">
        <f t="shared" si="66"/>
        <v>0</v>
      </c>
      <c r="Z72" s="82">
        <f t="shared" si="67"/>
        <v>0</v>
      </c>
      <c r="AA72" s="82">
        <f t="shared" si="68"/>
        <v>0</v>
      </c>
      <c r="AB72" s="82">
        <f t="shared" si="69"/>
        <v>0</v>
      </c>
      <c r="AC72" s="82">
        <f t="shared" si="70"/>
        <v>0</v>
      </c>
      <c r="AD72" s="82">
        <f t="shared" si="71"/>
        <v>0</v>
      </c>
      <c r="AE72" s="82">
        <f t="shared" si="72"/>
        <v>0</v>
      </c>
      <c r="AF72" s="82">
        <f t="shared" si="73"/>
        <v>0</v>
      </c>
      <c r="AG72" s="82">
        <f t="shared" si="74"/>
        <v>0</v>
      </c>
      <c r="AH72" s="82">
        <f t="shared" si="75"/>
        <v>0</v>
      </c>
      <c r="AI72" s="82">
        <f t="shared" si="76"/>
        <v>0</v>
      </c>
      <c r="AJ72" s="40">
        <v>41110</v>
      </c>
      <c r="AK72" s="187">
        <f t="shared" si="85"/>
        <v>1151407905.8410094</v>
      </c>
      <c r="AL72" s="43">
        <f t="shared" si="86"/>
        <v>1151407905.8410094</v>
      </c>
      <c r="AM72" s="43">
        <f t="shared" si="87"/>
        <v>1151407905.8410094</v>
      </c>
      <c r="AN72" s="43">
        <f t="shared" si="88"/>
        <v>1151407905.8410094</v>
      </c>
      <c r="AO72" s="43">
        <f t="shared" si="89"/>
        <v>4605631623.3640375</v>
      </c>
      <c r="AR72" s="40">
        <v>41110</v>
      </c>
      <c r="AS72" s="63">
        <v>0</v>
      </c>
      <c r="AT72" s="63">
        <v>0</v>
      </c>
      <c r="AU72" s="63">
        <v>0</v>
      </c>
      <c r="AV72" s="63">
        <v>0</v>
      </c>
      <c r="AW72" s="63">
        <v>0</v>
      </c>
      <c r="AX72" s="63">
        <v>0</v>
      </c>
      <c r="AY72" s="63">
        <v>0</v>
      </c>
      <c r="AZ72" s="63">
        <v>0</v>
      </c>
      <c r="BA72" s="63">
        <v>0</v>
      </c>
      <c r="BB72" s="63">
        <v>0</v>
      </c>
      <c r="BC72" s="63">
        <v>0</v>
      </c>
      <c r="BD72" s="63">
        <v>0</v>
      </c>
      <c r="BE72" s="63">
        <v>0</v>
      </c>
      <c r="BF72" s="63">
        <v>0</v>
      </c>
      <c r="BG72" s="63">
        <v>0</v>
      </c>
      <c r="BH72" s="63">
        <v>0</v>
      </c>
      <c r="BJ72" s="40">
        <v>41110</v>
      </c>
      <c r="BK72" s="43">
        <f t="shared" si="90"/>
        <v>0</v>
      </c>
      <c r="BL72" s="43">
        <f t="shared" si="91"/>
        <v>0</v>
      </c>
      <c r="BM72" s="43">
        <f t="shared" si="92"/>
        <v>0</v>
      </c>
      <c r="BN72" s="43">
        <f t="shared" si="93"/>
        <v>0</v>
      </c>
      <c r="BO72" s="43">
        <f t="shared" si="94"/>
        <v>0</v>
      </c>
      <c r="BP72" s="43">
        <f t="shared" si="95"/>
        <v>0</v>
      </c>
      <c r="BQ72" s="43">
        <f t="shared" si="96"/>
        <v>0</v>
      </c>
      <c r="BR72" s="43">
        <f t="shared" si="97"/>
        <v>0</v>
      </c>
      <c r="BS72" s="43">
        <f t="shared" si="98"/>
        <v>0</v>
      </c>
      <c r="BT72" s="43">
        <f t="shared" si="99"/>
        <v>0</v>
      </c>
      <c r="BU72" s="43">
        <f t="shared" si="100"/>
        <v>0</v>
      </c>
      <c r="BV72" s="43">
        <f t="shared" si="101"/>
        <v>0</v>
      </c>
      <c r="BW72" s="43">
        <f t="shared" si="102"/>
        <v>0</v>
      </c>
      <c r="BX72" s="43">
        <f t="shared" si="103"/>
        <v>0</v>
      </c>
      <c r="BY72" s="43">
        <f t="shared" si="104"/>
        <v>0</v>
      </c>
      <c r="BZ72" s="43">
        <f t="shared" si="105"/>
        <v>0</v>
      </c>
      <c r="CA72" s="40">
        <v>41110</v>
      </c>
      <c r="CB72" s="43">
        <f t="shared" ref="CB72:CQ85" si="108">+CB71+BK72</f>
        <v>0</v>
      </c>
      <c r="CC72" s="43">
        <f t="shared" si="108"/>
        <v>0</v>
      </c>
      <c r="CD72" s="43">
        <f t="shared" si="108"/>
        <v>0</v>
      </c>
      <c r="CE72" s="43">
        <f t="shared" si="108"/>
        <v>0</v>
      </c>
      <c r="CF72" s="43">
        <f t="shared" si="108"/>
        <v>0</v>
      </c>
      <c r="CG72" s="43">
        <f t="shared" si="108"/>
        <v>0</v>
      </c>
      <c r="CH72" s="43">
        <f t="shared" si="108"/>
        <v>0</v>
      </c>
      <c r="CI72" s="43">
        <f t="shared" si="108"/>
        <v>0</v>
      </c>
      <c r="CJ72" s="43">
        <f t="shared" si="108"/>
        <v>0</v>
      </c>
      <c r="CK72" s="43">
        <f t="shared" si="108"/>
        <v>0</v>
      </c>
      <c r="CL72" s="43">
        <f t="shared" si="108"/>
        <v>0</v>
      </c>
      <c r="CM72" s="43">
        <f t="shared" si="108"/>
        <v>0</v>
      </c>
      <c r="CN72" s="43">
        <f t="shared" si="108"/>
        <v>0</v>
      </c>
      <c r="CO72" s="43">
        <f t="shared" si="108"/>
        <v>0</v>
      </c>
      <c r="CP72" s="43">
        <f t="shared" si="108"/>
        <v>0</v>
      </c>
      <c r="CQ72" s="43">
        <f t="shared" si="61"/>
        <v>0</v>
      </c>
      <c r="CR72" s="64">
        <f t="shared" si="106"/>
        <v>0</v>
      </c>
      <c r="CT72" s="40">
        <v>41110</v>
      </c>
      <c r="CU72" s="269">
        <f>+CU$3-SUM(AS$4:AS72)</f>
        <v>0</v>
      </c>
      <c r="CV72" s="269">
        <f>+CV$3-SUM(AT$4:AT72)</f>
        <v>1.0000050067901611E-2</v>
      </c>
      <c r="CW72" s="269">
        <f>+CW$3-SUM(AU$4:AU72)</f>
        <v>0</v>
      </c>
      <c r="CX72" s="269">
        <f>+CX$3-SUM(AV$4:AV72)</f>
        <v>0</v>
      </c>
      <c r="CY72" s="908">
        <f>+CY$3-SUM(AW$4:AW72)-667256146.32</f>
        <v>0</v>
      </c>
      <c r="CZ72" s="269">
        <f>+CZ$3-SUM(AX$4:AX72)</f>
        <v>651407905.84000003</v>
      </c>
      <c r="DA72" s="269">
        <f>+DA$3-SUM(AY$4:AY72)</f>
        <v>500000000</v>
      </c>
      <c r="DB72" s="269">
        <f>+DB$3-SUM(AZ$4:AZ72)</f>
        <v>0</v>
      </c>
      <c r="DC72" s="908">
        <f>+DC$3-SUM(BA$4:BA72)-137424539.23</f>
        <v>0</v>
      </c>
      <c r="DD72" s="908">
        <f>+DD$3-SUM(BB$4:BB72)-18926732.95</f>
        <v>0</v>
      </c>
      <c r="DE72" s="269">
        <f>+DE$3-SUM(BC$4:BC72)</f>
        <v>0</v>
      </c>
      <c r="DF72" s="908">
        <f>+DF$3-SUM(BD$4:BD72)-74884030.36</f>
        <v>0</v>
      </c>
      <c r="DG72" s="908">
        <f>+DG$3-SUM(BE$4:BE72)-46082480.22</f>
        <v>0</v>
      </c>
      <c r="DH72" s="908">
        <f>+DH$3-SUM(BF$4:BF72)-57603100.28</f>
        <v>0</v>
      </c>
      <c r="DI72" s="908">
        <f>+DI$3-SUM(BG$4:BG72)-173632202.26</f>
        <v>0</v>
      </c>
      <c r="DJ72" s="908">
        <f>+DJ$3-SUM(BH$4:BH72)-16458028.65</f>
        <v>0</v>
      </c>
    </row>
    <row r="73" spans="1:114">
      <c r="A73" s="75">
        <v>41141</v>
      </c>
      <c r="B73" s="76">
        <f t="shared" si="84"/>
        <v>0</v>
      </c>
      <c r="C73" s="76">
        <f t="shared" si="84"/>
        <v>0</v>
      </c>
      <c r="D73" s="76">
        <f t="shared" si="84"/>
        <v>0</v>
      </c>
      <c r="E73" s="76">
        <f t="shared" si="84"/>
        <v>0</v>
      </c>
      <c r="F73" s="76">
        <f t="shared" si="84"/>
        <v>0</v>
      </c>
      <c r="G73" s="76">
        <f t="shared" si="84"/>
        <v>473467683.54485565</v>
      </c>
      <c r="H73" s="76">
        <f t="shared" si="84"/>
        <v>500000000</v>
      </c>
      <c r="I73" s="76">
        <f t="shared" si="84"/>
        <v>0</v>
      </c>
      <c r="J73" s="76">
        <f t="shared" si="84"/>
        <v>0</v>
      </c>
      <c r="K73" s="76">
        <f t="shared" si="84"/>
        <v>0</v>
      </c>
      <c r="L73" s="76">
        <f t="shared" si="84"/>
        <v>0</v>
      </c>
      <c r="M73" s="76">
        <f t="shared" si="84"/>
        <v>0</v>
      </c>
      <c r="N73" s="76">
        <f t="shared" si="84"/>
        <v>0</v>
      </c>
      <c r="O73" s="76">
        <f t="shared" si="84"/>
        <v>0</v>
      </c>
      <c r="P73" s="76">
        <f t="shared" si="84"/>
        <v>0</v>
      </c>
      <c r="Q73" s="76">
        <f t="shared" si="84"/>
        <v>0</v>
      </c>
      <c r="S73" s="1240">
        <v>41141</v>
      </c>
      <c r="T73" s="1241">
        <f t="shared" si="107"/>
        <v>0</v>
      </c>
      <c r="U73" s="1241">
        <f t="shared" si="62"/>
        <v>0</v>
      </c>
      <c r="V73" s="1241">
        <f t="shared" si="63"/>
        <v>0</v>
      </c>
      <c r="W73" s="1241">
        <f t="shared" si="64"/>
        <v>0</v>
      </c>
      <c r="X73" s="1241">
        <f t="shared" si="65"/>
        <v>0</v>
      </c>
      <c r="Y73" s="1241">
        <f t="shared" si="66"/>
        <v>177940222.30000001</v>
      </c>
      <c r="Z73" s="1241">
        <f t="shared" si="67"/>
        <v>0</v>
      </c>
      <c r="AA73" s="1241">
        <f t="shared" si="68"/>
        <v>0</v>
      </c>
      <c r="AB73" s="1241">
        <f t="shared" si="69"/>
        <v>0</v>
      </c>
      <c r="AC73" s="1241">
        <f t="shared" si="70"/>
        <v>0</v>
      </c>
      <c r="AD73" s="1241">
        <f t="shared" si="71"/>
        <v>0</v>
      </c>
      <c r="AE73" s="1241">
        <f t="shared" si="72"/>
        <v>0</v>
      </c>
      <c r="AF73" s="1241">
        <f t="shared" si="73"/>
        <v>0</v>
      </c>
      <c r="AG73" s="1241">
        <f t="shared" si="74"/>
        <v>0</v>
      </c>
      <c r="AH73" s="1241">
        <f t="shared" si="75"/>
        <v>0</v>
      </c>
      <c r="AI73" s="1241">
        <f t="shared" si="76"/>
        <v>0</v>
      </c>
      <c r="AJ73" s="40">
        <v>41141</v>
      </c>
      <c r="AK73" s="187">
        <f t="shared" si="85"/>
        <v>973467683.54485559</v>
      </c>
      <c r="AL73" s="43">
        <f t="shared" si="86"/>
        <v>973467683.54485559</v>
      </c>
      <c r="AM73" s="43">
        <f t="shared" si="87"/>
        <v>973467683.54485559</v>
      </c>
      <c r="AN73" s="43">
        <f t="shared" si="88"/>
        <v>973467683.54485559</v>
      </c>
      <c r="AO73" s="43">
        <f t="shared" si="89"/>
        <v>3893870734.1794224</v>
      </c>
      <c r="AR73" s="40">
        <v>41141</v>
      </c>
      <c r="AS73" s="63">
        <v>0</v>
      </c>
      <c r="AT73" s="63">
        <v>0</v>
      </c>
      <c r="AU73" s="63">
        <v>0</v>
      </c>
      <c r="AV73" s="63">
        <v>0</v>
      </c>
      <c r="AW73" s="63">
        <v>0</v>
      </c>
      <c r="AX73" s="85">
        <v>177940222.30000001</v>
      </c>
      <c r="AY73" s="63">
        <v>0</v>
      </c>
      <c r="AZ73" s="63">
        <v>0</v>
      </c>
      <c r="BA73" s="63">
        <v>0</v>
      </c>
      <c r="BB73" s="63">
        <v>0</v>
      </c>
      <c r="BC73" s="63">
        <v>0</v>
      </c>
      <c r="BD73" s="63">
        <v>0</v>
      </c>
      <c r="BE73" s="63">
        <v>0</v>
      </c>
      <c r="BF73" s="63">
        <v>0</v>
      </c>
      <c r="BG73" s="63">
        <v>0</v>
      </c>
      <c r="BH73" s="63">
        <v>0</v>
      </c>
      <c r="BJ73" s="40">
        <v>41141</v>
      </c>
      <c r="BK73" s="43">
        <f t="shared" si="90"/>
        <v>0</v>
      </c>
      <c r="BL73" s="43">
        <f t="shared" si="91"/>
        <v>0</v>
      </c>
      <c r="BM73" s="43">
        <f t="shared" si="92"/>
        <v>0</v>
      </c>
      <c r="BN73" s="43">
        <f t="shared" si="93"/>
        <v>0</v>
      </c>
      <c r="BO73" s="43">
        <f t="shared" si="94"/>
        <v>0</v>
      </c>
      <c r="BP73" s="43">
        <f t="shared" si="95"/>
        <v>0</v>
      </c>
      <c r="BQ73" s="43">
        <f t="shared" si="96"/>
        <v>0</v>
      </c>
      <c r="BR73" s="43">
        <f t="shared" si="97"/>
        <v>0</v>
      </c>
      <c r="BS73" s="43">
        <f t="shared" si="98"/>
        <v>0</v>
      </c>
      <c r="BT73" s="43">
        <f t="shared" si="99"/>
        <v>0</v>
      </c>
      <c r="BU73" s="43">
        <f t="shared" si="100"/>
        <v>0</v>
      </c>
      <c r="BV73" s="43">
        <f t="shared" si="101"/>
        <v>0</v>
      </c>
      <c r="BW73" s="43">
        <f t="shared" si="102"/>
        <v>0</v>
      </c>
      <c r="BX73" s="43">
        <f t="shared" si="103"/>
        <v>0</v>
      </c>
      <c r="BY73" s="43">
        <f t="shared" si="104"/>
        <v>0</v>
      </c>
      <c r="BZ73" s="43">
        <f t="shared" si="105"/>
        <v>0</v>
      </c>
      <c r="CA73" s="40">
        <v>41141</v>
      </c>
      <c r="CB73" s="43">
        <f t="shared" si="108"/>
        <v>0</v>
      </c>
      <c r="CC73" s="43">
        <f t="shared" si="108"/>
        <v>0</v>
      </c>
      <c r="CD73" s="43">
        <f t="shared" si="108"/>
        <v>0</v>
      </c>
      <c r="CE73" s="43">
        <f t="shared" si="108"/>
        <v>0</v>
      </c>
      <c r="CF73" s="43">
        <f t="shared" si="108"/>
        <v>0</v>
      </c>
      <c r="CG73" s="43">
        <f t="shared" si="108"/>
        <v>0</v>
      </c>
      <c r="CH73" s="43">
        <f t="shared" si="108"/>
        <v>0</v>
      </c>
      <c r="CI73" s="43">
        <f t="shared" si="108"/>
        <v>0</v>
      </c>
      <c r="CJ73" s="43">
        <f t="shared" si="108"/>
        <v>0</v>
      </c>
      <c r="CK73" s="43">
        <f t="shared" si="108"/>
        <v>0</v>
      </c>
      <c r="CL73" s="43">
        <f t="shared" si="108"/>
        <v>0</v>
      </c>
      <c r="CM73" s="43">
        <f t="shared" si="108"/>
        <v>0</v>
      </c>
      <c r="CN73" s="43">
        <f t="shared" si="108"/>
        <v>0</v>
      </c>
      <c r="CO73" s="43">
        <f t="shared" si="108"/>
        <v>0</v>
      </c>
      <c r="CP73" s="43">
        <f t="shared" si="108"/>
        <v>0</v>
      </c>
      <c r="CQ73" s="43">
        <f t="shared" si="61"/>
        <v>0</v>
      </c>
      <c r="CR73" s="64">
        <f t="shared" si="106"/>
        <v>0</v>
      </c>
      <c r="CT73" s="40">
        <v>41141</v>
      </c>
      <c r="CU73" s="269">
        <f>+CU$3-SUM(AS$4:AS73)</f>
        <v>0</v>
      </c>
      <c r="CV73" s="269">
        <f>+CV$3-SUM(AT$4:AT73)</f>
        <v>1.0000050067901611E-2</v>
      </c>
      <c r="CW73" s="269">
        <f>+CW$3-SUM(AU$4:AU73)</f>
        <v>0</v>
      </c>
      <c r="CX73" s="269">
        <f>+CX$3-SUM(AV$4:AV73)</f>
        <v>0</v>
      </c>
      <c r="CY73" s="908">
        <f>+CY$3-SUM(AW$4:AW73)-667256146.32</f>
        <v>0</v>
      </c>
      <c r="CZ73" s="269">
        <f>+CZ$3-SUM(AX$4:AX73)</f>
        <v>473467683.53999996</v>
      </c>
      <c r="DA73" s="269">
        <f>+DA$3-SUM(AY$4:AY73)</f>
        <v>500000000</v>
      </c>
      <c r="DB73" s="269">
        <f>+DB$3-SUM(AZ$4:AZ73)</f>
        <v>0</v>
      </c>
      <c r="DC73" s="908">
        <f>+DC$3-SUM(BA$4:BA73)-137424539.23</f>
        <v>0</v>
      </c>
      <c r="DD73" s="908">
        <f>+DD$3-SUM(BB$4:BB73)-18926732.95</f>
        <v>0</v>
      </c>
      <c r="DE73" s="269">
        <f>+DE$3-SUM(BC$4:BC73)</f>
        <v>0</v>
      </c>
      <c r="DF73" s="908">
        <f>+DF$3-SUM(BD$4:BD73)-74884030.36</f>
        <v>0</v>
      </c>
      <c r="DG73" s="908">
        <f>+DG$3-SUM(BE$4:BE73)-46082480.22</f>
        <v>0</v>
      </c>
      <c r="DH73" s="908">
        <f>+DH$3-SUM(BF$4:BF73)-57603100.28</f>
        <v>0</v>
      </c>
      <c r="DI73" s="908">
        <f>+DI$3-SUM(BG$4:BG73)-173632202.26</f>
        <v>0</v>
      </c>
      <c r="DJ73" s="908">
        <f>+DJ$3-SUM(BH$4:BH73)-16458028.65</f>
        <v>0</v>
      </c>
    </row>
    <row r="74" spans="1:114">
      <c r="A74" s="75">
        <v>41172</v>
      </c>
      <c r="B74" s="76">
        <f t="shared" si="84"/>
        <v>0</v>
      </c>
      <c r="C74" s="76">
        <f t="shared" si="84"/>
        <v>0</v>
      </c>
      <c r="D74" s="76">
        <f t="shared" si="84"/>
        <v>0</v>
      </c>
      <c r="E74" s="76">
        <f t="shared" si="84"/>
        <v>0</v>
      </c>
      <c r="F74" s="76">
        <f t="shared" si="84"/>
        <v>0</v>
      </c>
      <c r="G74" s="76">
        <f t="shared" si="84"/>
        <v>473467683.54485565</v>
      </c>
      <c r="H74" s="76">
        <f t="shared" si="84"/>
        <v>500000000</v>
      </c>
      <c r="I74" s="76">
        <f t="shared" si="84"/>
        <v>0</v>
      </c>
      <c r="J74" s="76">
        <f t="shared" si="84"/>
        <v>0</v>
      </c>
      <c r="K74" s="76">
        <f t="shared" si="84"/>
        <v>0</v>
      </c>
      <c r="L74" s="76">
        <f t="shared" si="84"/>
        <v>0</v>
      </c>
      <c r="M74" s="76">
        <f t="shared" si="84"/>
        <v>0</v>
      </c>
      <c r="N74" s="76">
        <f t="shared" si="84"/>
        <v>0</v>
      </c>
      <c r="O74" s="76">
        <f t="shared" si="84"/>
        <v>0</v>
      </c>
      <c r="P74" s="76">
        <f t="shared" si="84"/>
        <v>0</v>
      </c>
      <c r="Q74" s="76">
        <f t="shared" si="84"/>
        <v>0</v>
      </c>
      <c r="S74" s="40">
        <v>41172</v>
      </c>
      <c r="T74" s="82">
        <f t="shared" si="107"/>
        <v>0</v>
      </c>
      <c r="U74" s="82">
        <f t="shared" si="62"/>
        <v>0</v>
      </c>
      <c r="V74" s="82">
        <f t="shared" si="63"/>
        <v>0</v>
      </c>
      <c r="W74" s="82">
        <f t="shared" si="64"/>
        <v>0</v>
      </c>
      <c r="X74" s="82">
        <f t="shared" si="65"/>
        <v>0</v>
      </c>
      <c r="Y74" s="82">
        <f t="shared" si="66"/>
        <v>0</v>
      </c>
      <c r="Z74" s="82">
        <f t="shared" si="67"/>
        <v>0</v>
      </c>
      <c r="AA74" s="82">
        <f t="shared" si="68"/>
        <v>0</v>
      </c>
      <c r="AB74" s="82">
        <f t="shared" si="69"/>
        <v>0</v>
      </c>
      <c r="AC74" s="82">
        <f t="shared" si="70"/>
        <v>0</v>
      </c>
      <c r="AD74" s="82">
        <f t="shared" si="71"/>
        <v>0</v>
      </c>
      <c r="AE74" s="82">
        <f t="shared" si="72"/>
        <v>0</v>
      </c>
      <c r="AF74" s="82">
        <f t="shared" si="73"/>
        <v>0</v>
      </c>
      <c r="AG74" s="82">
        <f t="shared" si="74"/>
        <v>0</v>
      </c>
      <c r="AH74" s="82">
        <f t="shared" si="75"/>
        <v>0</v>
      </c>
      <c r="AI74" s="82">
        <f t="shared" si="76"/>
        <v>0</v>
      </c>
      <c r="AJ74" s="40">
        <v>41172</v>
      </c>
      <c r="AK74" s="187">
        <f t="shared" si="85"/>
        <v>973467683.54485559</v>
      </c>
      <c r="AL74" s="43">
        <f t="shared" si="86"/>
        <v>973467683.54485559</v>
      </c>
      <c r="AM74" s="43">
        <f t="shared" si="87"/>
        <v>973467683.54485559</v>
      </c>
      <c r="AN74" s="43">
        <f t="shared" si="88"/>
        <v>973467683.54485559</v>
      </c>
      <c r="AO74" s="43">
        <f t="shared" si="89"/>
        <v>3893870734.1794224</v>
      </c>
      <c r="AR74" s="40">
        <v>41172</v>
      </c>
      <c r="AS74" s="63">
        <v>0</v>
      </c>
      <c r="AT74" s="63">
        <v>0</v>
      </c>
      <c r="AU74" s="63">
        <v>0</v>
      </c>
      <c r="AV74" s="63">
        <v>0</v>
      </c>
      <c r="AW74" s="63">
        <v>0</v>
      </c>
      <c r="AX74" s="63">
        <v>0</v>
      </c>
      <c r="AY74" s="63">
        <v>0</v>
      </c>
      <c r="AZ74" s="63">
        <v>0</v>
      </c>
      <c r="BA74" s="63">
        <v>0</v>
      </c>
      <c r="BB74" s="63">
        <v>0</v>
      </c>
      <c r="BC74" s="63">
        <v>0</v>
      </c>
      <c r="BD74" s="63">
        <v>0</v>
      </c>
      <c r="BE74" s="63">
        <v>0</v>
      </c>
      <c r="BF74" s="63">
        <v>0</v>
      </c>
      <c r="BG74" s="63">
        <v>0</v>
      </c>
      <c r="BH74" s="63">
        <v>0</v>
      </c>
      <c r="BJ74" s="40">
        <v>41172</v>
      </c>
      <c r="BK74" s="43">
        <f t="shared" si="90"/>
        <v>0</v>
      </c>
      <c r="BL74" s="43">
        <f t="shared" si="91"/>
        <v>0</v>
      </c>
      <c r="BM74" s="43">
        <f t="shared" si="92"/>
        <v>0</v>
      </c>
      <c r="BN74" s="43">
        <f t="shared" si="93"/>
        <v>0</v>
      </c>
      <c r="BO74" s="43">
        <f t="shared" si="94"/>
        <v>0</v>
      </c>
      <c r="BP74" s="43">
        <f t="shared" si="95"/>
        <v>0</v>
      </c>
      <c r="BQ74" s="43">
        <f t="shared" si="96"/>
        <v>0</v>
      </c>
      <c r="BR74" s="43">
        <f t="shared" si="97"/>
        <v>0</v>
      </c>
      <c r="BS74" s="43">
        <f t="shared" si="98"/>
        <v>0</v>
      </c>
      <c r="BT74" s="43">
        <f t="shared" si="99"/>
        <v>0</v>
      </c>
      <c r="BU74" s="43">
        <f t="shared" si="100"/>
        <v>0</v>
      </c>
      <c r="BV74" s="43">
        <f t="shared" si="101"/>
        <v>0</v>
      </c>
      <c r="BW74" s="43">
        <f t="shared" si="102"/>
        <v>0</v>
      </c>
      <c r="BX74" s="43">
        <f t="shared" si="103"/>
        <v>0</v>
      </c>
      <c r="BY74" s="43">
        <f t="shared" si="104"/>
        <v>0</v>
      </c>
      <c r="BZ74" s="43">
        <f t="shared" si="105"/>
        <v>0</v>
      </c>
      <c r="CA74" s="40">
        <v>41172</v>
      </c>
      <c r="CB74" s="43">
        <f t="shared" si="108"/>
        <v>0</v>
      </c>
      <c r="CC74" s="43">
        <f t="shared" si="108"/>
        <v>0</v>
      </c>
      <c r="CD74" s="43">
        <f t="shared" si="108"/>
        <v>0</v>
      </c>
      <c r="CE74" s="43">
        <f t="shared" si="108"/>
        <v>0</v>
      </c>
      <c r="CF74" s="43">
        <f t="shared" si="108"/>
        <v>0</v>
      </c>
      <c r="CG74" s="43">
        <f t="shared" si="108"/>
        <v>0</v>
      </c>
      <c r="CH74" s="43">
        <f t="shared" si="108"/>
        <v>0</v>
      </c>
      <c r="CI74" s="43">
        <f t="shared" si="108"/>
        <v>0</v>
      </c>
      <c r="CJ74" s="43">
        <f t="shared" si="108"/>
        <v>0</v>
      </c>
      <c r="CK74" s="43">
        <f t="shared" si="108"/>
        <v>0</v>
      </c>
      <c r="CL74" s="43">
        <f t="shared" si="108"/>
        <v>0</v>
      </c>
      <c r="CM74" s="43">
        <f t="shared" si="108"/>
        <v>0</v>
      </c>
      <c r="CN74" s="43">
        <f t="shared" si="108"/>
        <v>0</v>
      </c>
      <c r="CO74" s="43">
        <f t="shared" si="108"/>
        <v>0</v>
      </c>
      <c r="CP74" s="43">
        <f t="shared" si="108"/>
        <v>0</v>
      </c>
      <c r="CQ74" s="43">
        <f t="shared" si="61"/>
        <v>0</v>
      </c>
      <c r="CR74" s="64">
        <f t="shared" si="106"/>
        <v>0</v>
      </c>
      <c r="CT74" s="40">
        <v>41172</v>
      </c>
      <c r="CU74" s="269">
        <f>+CU$3-SUM(AS$4:AS74)</f>
        <v>0</v>
      </c>
      <c r="CV74" s="269">
        <f>+CV$3-SUM(AT$4:AT74)</f>
        <v>1.0000050067901611E-2</v>
      </c>
      <c r="CW74" s="269">
        <f>+CW$3-SUM(AU$4:AU74)</f>
        <v>0</v>
      </c>
      <c r="CX74" s="269">
        <f>+CX$3-SUM(AV$4:AV74)</f>
        <v>0</v>
      </c>
      <c r="CY74" s="908">
        <f>+CY$3-SUM(AW$4:AW74)-667256146.32</f>
        <v>0</v>
      </c>
      <c r="CZ74" s="269">
        <f>+CZ$3-SUM(AX$4:AX74)</f>
        <v>473467683.53999996</v>
      </c>
      <c r="DA74" s="269">
        <f>+DA$3-SUM(AY$4:AY74)</f>
        <v>500000000</v>
      </c>
      <c r="DB74" s="269">
        <f>+DB$3-SUM(AZ$4:AZ74)</f>
        <v>0</v>
      </c>
      <c r="DC74" s="908">
        <f>+DC$3-SUM(BA$4:BA74)-137424539.23</f>
        <v>0</v>
      </c>
      <c r="DD74" s="908">
        <f>+DD$3-SUM(BB$4:BB74)-18926732.95</f>
        <v>0</v>
      </c>
      <c r="DE74" s="269">
        <f>+DE$3-SUM(BC$4:BC74)</f>
        <v>0</v>
      </c>
      <c r="DF74" s="908">
        <f>+DF$3-SUM(BD$4:BD74)-74884030.36</f>
        <v>0</v>
      </c>
      <c r="DG74" s="908">
        <f>+DG$3-SUM(BE$4:BE74)-46082480.22</f>
        <v>0</v>
      </c>
      <c r="DH74" s="908">
        <f>+DH$3-SUM(BF$4:BF74)-57603100.28</f>
        <v>0</v>
      </c>
      <c r="DI74" s="908">
        <f>+DI$3-SUM(BG$4:BG74)-173632202.26</f>
        <v>0</v>
      </c>
      <c r="DJ74" s="908">
        <f>+DJ$3-SUM(BH$4:BH74)-16458028.65</f>
        <v>0</v>
      </c>
    </row>
    <row r="75" spans="1:114">
      <c r="A75" s="75">
        <v>41202</v>
      </c>
      <c r="B75" s="76">
        <f t="shared" si="84"/>
        <v>0</v>
      </c>
      <c r="C75" s="76">
        <f t="shared" si="84"/>
        <v>0</v>
      </c>
      <c r="D75" s="76">
        <f t="shared" si="84"/>
        <v>0</v>
      </c>
      <c r="E75" s="76">
        <f t="shared" si="84"/>
        <v>0</v>
      </c>
      <c r="F75" s="76">
        <f t="shared" si="84"/>
        <v>0</v>
      </c>
      <c r="G75" s="76">
        <f t="shared" si="84"/>
        <v>473467683.54485565</v>
      </c>
      <c r="H75" s="76">
        <f t="shared" si="84"/>
        <v>500000000</v>
      </c>
      <c r="I75" s="76">
        <f t="shared" si="84"/>
        <v>0</v>
      </c>
      <c r="J75" s="76">
        <f t="shared" si="84"/>
        <v>0</v>
      </c>
      <c r="K75" s="76">
        <f t="shared" si="84"/>
        <v>0</v>
      </c>
      <c r="L75" s="76">
        <f t="shared" si="84"/>
        <v>0</v>
      </c>
      <c r="M75" s="76">
        <f t="shared" si="84"/>
        <v>0</v>
      </c>
      <c r="N75" s="76">
        <f t="shared" si="84"/>
        <v>0</v>
      </c>
      <c r="O75" s="76">
        <f t="shared" si="84"/>
        <v>0</v>
      </c>
      <c r="P75" s="76">
        <f t="shared" si="84"/>
        <v>0</v>
      </c>
      <c r="Q75" s="76">
        <f t="shared" si="84"/>
        <v>0</v>
      </c>
      <c r="S75" s="40">
        <v>41202</v>
      </c>
      <c r="T75" s="82">
        <f t="shared" si="107"/>
        <v>0</v>
      </c>
      <c r="U75" s="82">
        <f t="shared" si="62"/>
        <v>0</v>
      </c>
      <c r="V75" s="82">
        <f t="shared" si="63"/>
        <v>0</v>
      </c>
      <c r="W75" s="82">
        <f t="shared" si="64"/>
        <v>0</v>
      </c>
      <c r="X75" s="82">
        <f t="shared" si="65"/>
        <v>0</v>
      </c>
      <c r="Y75" s="82">
        <f t="shared" si="66"/>
        <v>0</v>
      </c>
      <c r="Z75" s="82">
        <f t="shared" si="67"/>
        <v>0</v>
      </c>
      <c r="AA75" s="82">
        <f t="shared" si="68"/>
        <v>0</v>
      </c>
      <c r="AB75" s="82">
        <f t="shared" si="69"/>
        <v>0</v>
      </c>
      <c r="AC75" s="82">
        <f t="shared" si="70"/>
        <v>0</v>
      </c>
      <c r="AD75" s="82">
        <f t="shared" si="71"/>
        <v>0</v>
      </c>
      <c r="AE75" s="82">
        <f t="shared" si="72"/>
        <v>0</v>
      </c>
      <c r="AF75" s="82">
        <f t="shared" si="73"/>
        <v>0</v>
      </c>
      <c r="AG75" s="82">
        <f t="shared" si="74"/>
        <v>0</v>
      </c>
      <c r="AH75" s="82">
        <f t="shared" si="75"/>
        <v>0</v>
      </c>
      <c r="AI75" s="82">
        <f t="shared" si="76"/>
        <v>0</v>
      </c>
      <c r="AJ75" s="40">
        <v>41202</v>
      </c>
      <c r="AK75" s="187">
        <f t="shared" si="85"/>
        <v>973467683.54485559</v>
      </c>
      <c r="AL75" s="43">
        <f t="shared" si="86"/>
        <v>973467683.54485559</v>
      </c>
      <c r="AM75" s="43">
        <f t="shared" si="87"/>
        <v>973467683.54485559</v>
      </c>
      <c r="AN75" s="43">
        <f t="shared" si="88"/>
        <v>973467683.54485559</v>
      </c>
      <c r="AO75" s="43">
        <f t="shared" si="89"/>
        <v>3893870734.1794224</v>
      </c>
      <c r="AR75" s="40">
        <v>41202</v>
      </c>
      <c r="AS75" s="63">
        <v>0</v>
      </c>
      <c r="AT75" s="63">
        <v>0</v>
      </c>
      <c r="AU75" s="63">
        <v>0</v>
      </c>
      <c r="AV75" s="63">
        <v>0</v>
      </c>
      <c r="AW75" s="63">
        <v>0</v>
      </c>
      <c r="AX75" s="63">
        <v>0</v>
      </c>
      <c r="AY75" s="63">
        <v>0</v>
      </c>
      <c r="AZ75" s="63">
        <v>0</v>
      </c>
      <c r="BA75" s="63">
        <v>0</v>
      </c>
      <c r="BB75" s="63">
        <v>0</v>
      </c>
      <c r="BC75" s="63">
        <v>0</v>
      </c>
      <c r="BD75" s="63">
        <v>0</v>
      </c>
      <c r="BE75" s="63">
        <v>0</v>
      </c>
      <c r="BF75" s="63">
        <v>0</v>
      </c>
      <c r="BG75" s="63">
        <v>0</v>
      </c>
      <c r="BH75" s="63">
        <v>0</v>
      </c>
      <c r="BJ75" s="40">
        <v>41202</v>
      </c>
      <c r="BK75" s="43">
        <f t="shared" si="90"/>
        <v>0</v>
      </c>
      <c r="BL75" s="43">
        <f t="shared" si="91"/>
        <v>0</v>
      </c>
      <c r="BM75" s="43">
        <f t="shared" si="92"/>
        <v>0</v>
      </c>
      <c r="BN75" s="43">
        <f t="shared" si="93"/>
        <v>0</v>
      </c>
      <c r="BO75" s="43">
        <f t="shared" si="94"/>
        <v>0</v>
      </c>
      <c r="BP75" s="43">
        <f t="shared" si="95"/>
        <v>0</v>
      </c>
      <c r="BQ75" s="43">
        <f t="shared" si="96"/>
        <v>0</v>
      </c>
      <c r="BR75" s="43">
        <f t="shared" si="97"/>
        <v>0</v>
      </c>
      <c r="BS75" s="43">
        <f t="shared" si="98"/>
        <v>0</v>
      </c>
      <c r="BT75" s="43">
        <f t="shared" si="99"/>
        <v>0</v>
      </c>
      <c r="BU75" s="43">
        <f t="shared" si="100"/>
        <v>0</v>
      </c>
      <c r="BV75" s="43">
        <f t="shared" si="101"/>
        <v>0</v>
      </c>
      <c r="BW75" s="43">
        <f t="shared" si="102"/>
        <v>0</v>
      </c>
      <c r="BX75" s="43">
        <f t="shared" si="103"/>
        <v>0</v>
      </c>
      <c r="BY75" s="43">
        <f t="shared" si="104"/>
        <v>0</v>
      </c>
      <c r="BZ75" s="43">
        <f t="shared" si="105"/>
        <v>0</v>
      </c>
      <c r="CA75" s="40">
        <v>41202</v>
      </c>
      <c r="CB75" s="43">
        <f t="shared" si="108"/>
        <v>0</v>
      </c>
      <c r="CC75" s="43">
        <f t="shared" si="108"/>
        <v>0</v>
      </c>
      <c r="CD75" s="43">
        <f t="shared" si="108"/>
        <v>0</v>
      </c>
      <c r="CE75" s="43">
        <f t="shared" si="108"/>
        <v>0</v>
      </c>
      <c r="CF75" s="43">
        <f t="shared" si="108"/>
        <v>0</v>
      </c>
      <c r="CG75" s="43">
        <f t="shared" si="108"/>
        <v>0</v>
      </c>
      <c r="CH75" s="43">
        <f t="shared" si="108"/>
        <v>0</v>
      </c>
      <c r="CI75" s="43">
        <f t="shared" si="108"/>
        <v>0</v>
      </c>
      <c r="CJ75" s="43">
        <f t="shared" si="108"/>
        <v>0</v>
      </c>
      <c r="CK75" s="43">
        <f t="shared" si="108"/>
        <v>0</v>
      </c>
      <c r="CL75" s="43">
        <f t="shared" si="108"/>
        <v>0</v>
      </c>
      <c r="CM75" s="43">
        <f t="shared" si="108"/>
        <v>0</v>
      </c>
      <c r="CN75" s="43">
        <f t="shared" si="108"/>
        <v>0</v>
      </c>
      <c r="CO75" s="43">
        <f t="shared" si="108"/>
        <v>0</v>
      </c>
      <c r="CP75" s="43">
        <f t="shared" si="108"/>
        <v>0</v>
      </c>
      <c r="CQ75" s="43">
        <f t="shared" si="61"/>
        <v>0</v>
      </c>
      <c r="CR75" s="64">
        <f t="shared" si="106"/>
        <v>0</v>
      </c>
      <c r="CT75" s="40">
        <v>41202</v>
      </c>
      <c r="CU75" s="269">
        <f>+CU$3-SUM(AS$4:AS75)</f>
        <v>0</v>
      </c>
      <c r="CV75" s="269">
        <f>+CV$3-SUM(AT$4:AT75)</f>
        <v>1.0000050067901611E-2</v>
      </c>
      <c r="CW75" s="269">
        <f>+CW$3-SUM(AU$4:AU75)</f>
        <v>0</v>
      </c>
      <c r="CX75" s="269">
        <f>+CX$3-SUM(AV$4:AV75)</f>
        <v>0</v>
      </c>
      <c r="CY75" s="908">
        <f>+CY$3-SUM(AW$4:AW75)-667256146.32</f>
        <v>0</v>
      </c>
      <c r="CZ75" s="269">
        <f>+CZ$3-SUM(AX$4:AX75)</f>
        <v>473467683.53999996</v>
      </c>
      <c r="DA75" s="269">
        <f>+DA$3-SUM(AY$4:AY75)</f>
        <v>500000000</v>
      </c>
      <c r="DB75" s="269">
        <f>+DB$3-SUM(AZ$4:AZ75)</f>
        <v>0</v>
      </c>
      <c r="DC75" s="908">
        <f>+DC$3-SUM(BA$4:BA75)-137424539.23</f>
        <v>0</v>
      </c>
      <c r="DD75" s="908">
        <f>+DD$3-SUM(BB$4:BB75)-18926732.95</f>
        <v>0</v>
      </c>
      <c r="DE75" s="269">
        <f>+DE$3-SUM(BC$4:BC75)</f>
        <v>0</v>
      </c>
      <c r="DF75" s="908">
        <f>+DF$3-SUM(BD$4:BD75)-74884030.36</f>
        <v>0</v>
      </c>
      <c r="DG75" s="908">
        <f>+DG$3-SUM(BE$4:BE75)-46082480.22</f>
        <v>0</v>
      </c>
      <c r="DH75" s="908">
        <f>+DH$3-SUM(BF$4:BF75)-57603100.28</f>
        <v>0</v>
      </c>
      <c r="DI75" s="908">
        <f>+DI$3-SUM(BG$4:BG75)-173632202.26</f>
        <v>0</v>
      </c>
      <c r="DJ75" s="908">
        <f>+DJ$3-SUM(BH$4:BH75)-16458028.65</f>
        <v>0</v>
      </c>
    </row>
    <row r="76" spans="1:114">
      <c r="A76" s="75">
        <v>41233</v>
      </c>
      <c r="B76" s="76">
        <f t="shared" si="84"/>
        <v>0</v>
      </c>
      <c r="C76" s="76">
        <f t="shared" si="84"/>
        <v>0</v>
      </c>
      <c r="D76" s="76">
        <f t="shared" si="84"/>
        <v>0</v>
      </c>
      <c r="E76" s="76">
        <f t="shared" si="84"/>
        <v>0</v>
      </c>
      <c r="F76" s="76">
        <f t="shared" si="84"/>
        <v>0</v>
      </c>
      <c r="G76" s="76">
        <f t="shared" si="84"/>
        <v>305182211.40410846</v>
      </c>
      <c r="H76" s="76">
        <f t="shared" si="84"/>
        <v>500000000</v>
      </c>
      <c r="I76" s="76">
        <f t="shared" si="84"/>
        <v>0</v>
      </c>
      <c r="J76" s="76">
        <f t="shared" si="84"/>
        <v>0</v>
      </c>
      <c r="K76" s="76">
        <f t="shared" si="84"/>
        <v>0</v>
      </c>
      <c r="L76" s="76">
        <f t="shared" si="84"/>
        <v>0</v>
      </c>
      <c r="M76" s="76">
        <f t="shared" si="84"/>
        <v>0</v>
      </c>
      <c r="N76" s="76">
        <f t="shared" si="84"/>
        <v>0</v>
      </c>
      <c r="O76" s="76">
        <f t="shared" si="84"/>
        <v>0</v>
      </c>
      <c r="P76" s="76">
        <f t="shared" si="84"/>
        <v>0</v>
      </c>
      <c r="Q76" s="76">
        <f t="shared" si="84"/>
        <v>0</v>
      </c>
      <c r="S76" s="40">
        <v>41233</v>
      </c>
      <c r="T76" s="82">
        <f t="shared" si="107"/>
        <v>0</v>
      </c>
      <c r="U76" s="82">
        <f t="shared" si="62"/>
        <v>0</v>
      </c>
      <c r="V76" s="82">
        <f t="shared" si="63"/>
        <v>0</v>
      </c>
      <c r="W76" s="82">
        <f t="shared" si="64"/>
        <v>0</v>
      </c>
      <c r="X76" s="82">
        <f t="shared" si="65"/>
        <v>0</v>
      </c>
      <c r="Y76" s="82">
        <f t="shared" si="66"/>
        <v>168285472.13999999</v>
      </c>
      <c r="Z76" s="82">
        <f t="shared" si="67"/>
        <v>0</v>
      </c>
      <c r="AA76" s="82">
        <f t="shared" si="68"/>
        <v>0</v>
      </c>
      <c r="AB76" s="82">
        <f t="shared" si="69"/>
        <v>0</v>
      </c>
      <c r="AC76" s="82">
        <f t="shared" si="70"/>
        <v>0</v>
      </c>
      <c r="AD76" s="82">
        <f t="shared" si="71"/>
        <v>0</v>
      </c>
      <c r="AE76" s="82">
        <f t="shared" si="72"/>
        <v>0</v>
      </c>
      <c r="AF76" s="82">
        <f t="shared" si="73"/>
        <v>0</v>
      </c>
      <c r="AG76" s="82">
        <f t="shared" si="74"/>
        <v>0</v>
      </c>
      <c r="AH76" s="82">
        <f t="shared" si="75"/>
        <v>0</v>
      </c>
      <c r="AI76" s="82">
        <f t="shared" si="76"/>
        <v>0</v>
      </c>
      <c r="AJ76" s="40">
        <v>41233</v>
      </c>
      <c r="AK76" s="187">
        <f t="shared" si="85"/>
        <v>805182211.40410852</v>
      </c>
      <c r="AL76" s="43">
        <f t="shared" si="86"/>
        <v>805182211.40410852</v>
      </c>
      <c r="AM76" s="43">
        <f t="shared" si="87"/>
        <v>805182211.40410852</v>
      </c>
      <c r="AN76" s="43">
        <f t="shared" si="88"/>
        <v>805182211.40410852</v>
      </c>
      <c r="AO76" s="43">
        <f t="shared" si="89"/>
        <v>3220728845.6164341</v>
      </c>
      <c r="AR76" s="40">
        <v>41233</v>
      </c>
      <c r="AS76" s="63">
        <v>0</v>
      </c>
      <c r="AT76" s="63">
        <v>0</v>
      </c>
      <c r="AU76" s="63">
        <v>0</v>
      </c>
      <c r="AV76" s="63">
        <v>0</v>
      </c>
      <c r="AW76" s="63">
        <v>0</v>
      </c>
      <c r="AX76" s="85">
        <v>168285472.13999999</v>
      </c>
      <c r="AY76" s="63">
        <v>0</v>
      </c>
      <c r="AZ76" s="63">
        <v>0</v>
      </c>
      <c r="BA76" s="63">
        <v>0</v>
      </c>
      <c r="BB76" s="63">
        <v>0</v>
      </c>
      <c r="BC76" s="63">
        <v>0</v>
      </c>
      <c r="BD76" s="63">
        <v>0</v>
      </c>
      <c r="BE76" s="63">
        <v>0</v>
      </c>
      <c r="BF76" s="63">
        <v>0</v>
      </c>
      <c r="BG76" s="63">
        <v>0</v>
      </c>
      <c r="BH76" s="63">
        <v>0</v>
      </c>
      <c r="BJ76" s="40">
        <v>41233</v>
      </c>
      <c r="BK76" s="43">
        <f t="shared" si="90"/>
        <v>0</v>
      </c>
      <c r="BL76" s="43">
        <f t="shared" si="91"/>
        <v>0</v>
      </c>
      <c r="BM76" s="43">
        <f t="shared" si="92"/>
        <v>0</v>
      </c>
      <c r="BN76" s="43">
        <f t="shared" si="93"/>
        <v>0</v>
      </c>
      <c r="BO76" s="43">
        <f t="shared" si="94"/>
        <v>0</v>
      </c>
      <c r="BP76" s="43">
        <f t="shared" si="95"/>
        <v>0</v>
      </c>
      <c r="BQ76" s="43">
        <f t="shared" si="96"/>
        <v>0</v>
      </c>
      <c r="BR76" s="43">
        <f t="shared" si="97"/>
        <v>0</v>
      </c>
      <c r="BS76" s="43">
        <f t="shared" si="98"/>
        <v>0</v>
      </c>
      <c r="BT76" s="43">
        <f t="shared" si="99"/>
        <v>0</v>
      </c>
      <c r="BU76" s="43">
        <f t="shared" si="100"/>
        <v>0</v>
      </c>
      <c r="BV76" s="43">
        <f t="shared" si="101"/>
        <v>0</v>
      </c>
      <c r="BW76" s="43">
        <f t="shared" si="102"/>
        <v>0</v>
      </c>
      <c r="BX76" s="43">
        <f t="shared" si="103"/>
        <v>0</v>
      </c>
      <c r="BY76" s="43">
        <f t="shared" si="104"/>
        <v>0</v>
      </c>
      <c r="BZ76" s="43">
        <f t="shared" si="105"/>
        <v>0</v>
      </c>
      <c r="CA76" s="40">
        <v>41233</v>
      </c>
      <c r="CB76" s="43">
        <f t="shared" si="108"/>
        <v>0</v>
      </c>
      <c r="CC76" s="43">
        <f t="shared" si="108"/>
        <v>0</v>
      </c>
      <c r="CD76" s="43">
        <f t="shared" si="108"/>
        <v>0</v>
      </c>
      <c r="CE76" s="43">
        <f t="shared" si="108"/>
        <v>0</v>
      </c>
      <c r="CF76" s="43">
        <f t="shared" si="108"/>
        <v>0</v>
      </c>
      <c r="CG76" s="43">
        <f t="shared" si="108"/>
        <v>0</v>
      </c>
      <c r="CH76" s="43">
        <f t="shared" si="108"/>
        <v>0</v>
      </c>
      <c r="CI76" s="43">
        <f t="shared" si="108"/>
        <v>0</v>
      </c>
      <c r="CJ76" s="43">
        <f t="shared" si="108"/>
        <v>0</v>
      </c>
      <c r="CK76" s="43">
        <f t="shared" si="108"/>
        <v>0</v>
      </c>
      <c r="CL76" s="43">
        <f t="shared" si="108"/>
        <v>0</v>
      </c>
      <c r="CM76" s="43">
        <f t="shared" si="108"/>
        <v>0</v>
      </c>
      <c r="CN76" s="43">
        <f t="shared" si="108"/>
        <v>0</v>
      </c>
      <c r="CO76" s="43">
        <f t="shared" si="108"/>
        <v>0</v>
      </c>
      <c r="CP76" s="43">
        <f t="shared" si="108"/>
        <v>0</v>
      </c>
      <c r="CQ76" s="43">
        <f t="shared" si="61"/>
        <v>0</v>
      </c>
      <c r="CR76" s="64">
        <f t="shared" si="106"/>
        <v>0</v>
      </c>
      <c r="CT76" s="40">
        <v>41233</v>
      </c>
      <c r="CU76" s="269">
        <f>+CU$3-SUM(AS$4:AS76)</f>
        <v>0</v>
      </c>
      <c r="CV76" s="269">
        <f>+CV$3-SUM(AT$4:AT76)</f>
        <v>1.0000050067901611E-2</v>
      </c>
      <c r="CW76" s="269">
        <f>+CW$3-SUM(AU$4:AU76)</f>
        <v>0</v>
      </c>
      <c r="CX76" s="269">
        <f>+CX$3-SUM(AV$4:AV76)</f>
        <v>0</v>
      </c>
      <c r="CY76" s="908">
        <f>+CY$3-SUM(AW$4:AW76)-667256146.32</f>
        <v>0</v>
      </c>
      <c r="CZ76" s="269">
        <f>+CZ$3-SUM(AX$4:AX76)</f>
        <v>305182211.39999998</v>
      </c>
      <c r="DA76" s="269">
        <f>+DA$3-SUM(AY$4:AY76)</f>
        <v>500000000</v>
      </c>
      <c r="DB76" s="269">
        <f>+DB$3-SUM(AZ$4:AZ76)</f>
        <v>0</v>
      </c>
      <c r="DC76" s="908">
        <f>+DC$3-SUM(BA$4:BA76)-137424539.23</f>
        <v>0</v>
      </c>
      <c r="DD76" s="908">
        <f>+DD$3-SUM(BB$4:BB76)-18926732.95</f>
        <v>0</v>
      </c>
      <c r="DE76" s="269">
        <f>+DE$3-SUM(BC$4:BC76)</f>
        <v>0</v>
      </c>
      <c r="DF76" s="908">
        <f>+DF$3-SUM(BD$4:BD76)-74884030.36</f>
        <v>0</v>
      </c>
      <c r="DG76" s="908">
        <f>+DG$3-SUM(BE$4:BE76)-46082480.22</f>
        <v>0</v>
      </c>
      <c r="DH76" s="908">
        <f>+DH$3-SUM(BF$4:BF76)-57603100.28</f>
        <v>0</v>
      </c>
      <c r="DI76" s="908">
        <f>+DI$3-SUM(BG$4:BG76)-173632202.26</f>
        <v>0</v>
      </c>
      <c r="DJ76" s="908">
        <f>+DJ$3-SUM(BH$4:BH76)-16458028.65</f>
        <v>0</v>
      </c>
    </row>
    <row r="77" spans="1:114">
      <c r="A77" s="75">
        <v>41263</v>
      </c>
      <c r="B77" s="76">
        <f t="shared" si="84"/>
        <v>0</v>
      </c>
      <c r="C77" s="76">
        <f t="shared" si="84"/>
        <v>0</v>
      </c>
      <c r="D77" s="76">
        <f t="shared" si="84"/>
        <v>0</v>
      </c>
      <c r="E77" s="76">
        <f t="shared" si="84"/>
        <v>0</v>
      </c>
      <c r="F77" s="76">
        <f t="shared" si="84"/>
        <v>0</v>
      </c>
      <c r="G77" s="76">
        <f t="shared" si="84"/>
        <v>305182211.40410846</v>
      </c>
      <c r="H77" s="76">
        <f t="shared" si="84"/>
        <v>500000000</v>
      </c>
      <c r="I77" s="76">
        <f t="shared" si="84"/>
        <v>0</v>
      </c>
      <c r="J77" s="76">
        <f t="shared" si="84"/>
        <v>0</v>
      </c>
      <c r="K77" s="76">
        <f t="shared" si="84"/>
        <v>0</v>
      </c>
      <c r="L77" s="76">
        <f t="shared" si="84"/>
        <v>0</v>
      </c>
      <c r="M77" s="76">
        <f t="shared" si="84"/>
        <v>0</v>
      </c>
      <c r="N77" s="76">
        <f t="shared" si="84"/>
        <v>0</v>
      </c>
      <c r="O77" s="76">
        <f t="shared" si="84"/>
        <v>0</v>
      </c>
      <c r="P77" s="76">
        <f t="shared" si="84"/>
        <v>0</v>
      </c>
      <c r="Q77" s="76">
        <f t="shared" si="84"/>
        <v>0</v>
      </c>
      <c r="S77" s="40">
        <v>41263</v>
      </c>
      <c r="T77" s="82">
        <f t="shared" si="107"/>
        <v>0</v>
      </c>
      <c r="U77" s="82">
        <f t="shared" si="62"/>
        <v>0</v>
      </c>
      <c r="V77" s="82">
        <f t="shared" si="63"/>
        <v>0</v>
      </c>
      <c r="W77" s="82">
        <f t="shared" si="64"/>
        <v>0</v>
      </c>
      <c r="X77" s="82">
        <f t="shared" si="65"/>
        <v>0</v>
      </c>
      <c r="Y77" s="82">
        <f t="shared" si="66"/>
        <v>0</v>
      </c>
      <c r="Z77" s="82">
        <f t="shared" si="67"/>
        <v>0</v>
      </c>
      <c r="AA77" s="82">
        <f t="shared" si="68"/>
        <v>0</v>
      </c>
      <c r="AB77" s="82">
        <f t="shared" si="69"/>
        <v>0</v>
      </c>
      <c r="AC77" s="82">
        <f t="shared" si="70"/>
        <v>0</v>
      </c>
      <c r="AD77" s="82">
        <f t="shared" si="71"/>
        <v>0</v>
      </c>
      <c r="AE77" s="82">
        <f t="shared" si="72"/>
        <v>0</v>
      </c>
      <c r="AF77" s="82">
        <f t="shared" si="73"/>
        <v>0</v>
      </c>
      <c r="AG77" s="82">
        <f t="shared" si="74"/>
        <v>0</v>
      </c>
      <c r="AH77" s="82">
        <f t="shared" si="75"/>
        <v>0</v>
      </c>
      <c r="AI77" s="82">
        <f t="shared" si="76"/>
        <v>0</v>
      </c>
      <c r="AJ77" s="40">
        <v>41263</v>
      </c>
      <c r="AK77" s="187">
        <f t="shared" si="85"/>
        <v>805182211.40410852</v>
      </c>
      <c r="AL77" s="43">
        <f t="shared" si="86"/>
        <v>805182211.40410852</v>
      </c>
      <c r="AM77" s="43">
        <f t="shared" si="87"/>
        <v>805182211.40410852</v>
      </c>
      <c r="AN77" s="43">
        <f t="shared" si="88"/>
        <v>805182211.40410852</v>
      </c>
      <c r="AO77" s="43">
        <f t="shared" si="89"/>
        <v>3220728845.6164341</v>
      </c>
      <c r="AR77" s="40">
        <v>41263</v>
      </c>
      <c r="AS77" s="63">
        <v>0</v>
      </c>
      <c r="AT77" s="63">
        <v>0</v>
      </c>
      <c r="AU77" s="63">
        <v>0</v>
      </c>
      <c r="AV77" s="63">
        <v>0</v>
      </c>
      <c r="AW77" s="63">
        <v>0</v>
      </c>
      <c r="AX77" s="63">
        <v>0</v>
      </c>
      <c r="AY77" s="63">
        <v>0</v>
      </c>
      <c r="AZ77" s="63">
        <v>0</v>
      </c>
      <c r="BA77" s="63">
        <v>0</v>
      </c>
      <c r="BB77" s="63">
        <v>0</v>
      </c>
      <c r="BC77" s="63">
        <v>0</v>
      </c>
      <c r="BD77" s="63">
        <v>0</v>
      </c>
      <c r="BE77" s="63">
        <v>0</v>
      </c>
      <c r="BF77" s="63">
        <v>0</v>
      </c>
      <c r="BG77" s="63">
        <v>0</v>
      </c>
      <c r="BH77" s="63">
        <v>0</v>
      </c>
      <c r="BJ77" s="40">
        <v>41263</v>
      </c>
      <c r="BK77" s="43">
        <f t="shared" si="90"/>
        <v>0</v>
      </c>
      <c r="BL77" s="43">
        <f t="shared" si="91"/>
        <v>0</v>
      </c>
      <c r="BM77" s="43">
        <f t="shared" si="92"/>
        <v>0</v>
      </c>
      <c r="BN77" s="43">
        <f t="shared" si="93"/>
        <v>0</v>
      </c>
      <c r="BO77" s="43">
        <f t="shared" si="94"/>
        <v>0</v>
      </c>
      <c r="BP77" s="43">
        <f t="shared" si="95"/>
        <v>0</v>
      </c>
      <c r="BQ77" s="43">
        <f t="shared" si="96"/>
        <v>0</v>
      </c>
      <c r="BR77" s="43">
        <f t="shared" si="97"/>
        <v>0</v>
      </c>
      <c r="BS77" s="43">
        <f t="shared" si="98"/>
        <v>0</v>
      </c>
      <c r="BT77" s="43">
        <f t="shared" si="99"/>
        <v>0</v>
      </c>
      <c r="BU77" s="43">
        <f t="shared" si="100"/>
        <v>0</v>
      </c>
      <c r="BV77" s="43">
        <f t="shared" si="101"/>
        <v>0</v>
      </c>
      <c r="BW77" s="43">
        <f t="shared" si="102"/>
        <v>0</v>
      </c>
      <c r="BX77" s="43">
        <f t="shared" si="103"/>
        <v>0</v>
      </c>
      <c r="BY77" s="43">
        <f t="shared" si="104"/>
        <v>0</v>
      </c>
      <c r="BZ77" s="43">
        <f t="shared" si="105"/>
        <v>0</v>
      </c>
      <c r="CA77" s="40">
        <v>41263</v>
      </c>
      <c r="CB77" s="43">
        <f t="shared" si="108"/>
        <v>0</v>
      </c>
      <c r="CC77" s="43">
        <f t="shared" si="108"/>
        <v>0</v>
      </c>
      <c r="CD77" s="43">
        <f t="shared" si="108"/>
        <v>0</v>
      </c>
      <c r="CE77" s="43">
        <f t="shared" si="108"/>
        <v>0</v>
      </c>
      <c r="CF77" s="43">
        <f t="shared" si="108"/>
        <v>0</v>
      </c>
      <c r="CG77" s="43">
        <f t="shared" si="108"/>
        <v>0</v>
      </c>
      <c r="CH77" s="43">
        <f t="shared" si="108"/>
        <v>0</v>
      </c>
      <c r="CI77" s="43">
        <f t="shared" si="108"/>
        <v>0</v>
      </c>
      <c r="CJ77" s="43">
        <f t="shared" si="108"/>
        <v>0</v>
      </c>
      <c r="CK77" s="43">
        <f t="shared" si="108"/>
        <v>0</v>
      </c>
      <c r="CL77" s="43">
        <f t="shared" si="108"/>
        <v>0</v>
      </c>
      <c r="CM77" s="43">
        <f t="shared" si="108"/>
        <v>0</v>
      </c>
      <c r="CN77" s="43">
        <f t="shared" si="108"/>
        <v>0</v>
      </c>
      <c r="CO77" s="43">
        <f t="shared" si="108"/>
        <v>0</v>
      </c>
      <c r="CP77" s="43">
        <f t="shared" si="108"/>
        <v>0</v>
      </c>
      <c r="CQ77" s="43">
        <f t="shared" si="61"/>
        <v>0</v>
      </c>
      <c r="CR77" s="64">
        <f t="shared" si="106"/>
        <v>0</v>
      </c>
      <c r="CT77" s="40">
        <v>41263</v>
      </c>
      <c r="CU77" s="269">
        <f>+CU$3-SUM(AS$4:AS77)</f>
        <v>0</v>
      </c>
      <c r="CV77" s="269">
        <f>+CV$3-SUM(AT$4:AT77)</f>
        <v>1.0000050067901611E-2</v>
      </c>
      <c r="CW77" s="269">
        <f>+CW$3-SUM(AU$4:AU77)</f>
        <v>0</v>
      </c>
      <c r="CX77" s="269">
        <f>+CX$3-SUM(AV$4:AV77)</f>
        <v>0</v>
      </c>
      <c r="CY77" s="908">
        <f>+CY$3-SUM(AW$4:AW77)-667256146.32</f>
        <v>0</v>
      </c>
      <c r="CZ77" s="269">
        <f>+CZ$3-SUM(AX$4:AX77)</f>
        <v>305182211.39999998</v>
      </c>
      <c r="DA77" s="269">
        <f>+DA$3-SUM(AY$4:AY77)</f>
        <v>500000000</v>
      </c>
      <c r="DB77" s="269">
        <f>+DB$3-SUM(AZ$4:AZ77)</f>
        <v>0</v>
      </c>
      <c r="DC77" s="908">
        <f>+DC$3-SUM(BA$4:BA77)-137424539.23</f>
        <v>0</v>
      </c>
      <c r="DD77" s="908">
        <f>+DD$3-SUM(BB$4:BB77)-18926732.95</f>
        <v>0</v>
      </c>
      <c r="DE77" s="269">
        <f>+DE$3-SUM(BC$4:BC77)</f>
        <v>0</v>
      </c>
      <c r="DF77" s="908">
        <f>+DF$3-SUM(BD$4:BD77)-74884030.36</f>
        <v>0</v>
      </c>
      <c r="DG77" s="908">
        <f>+DG$3-SUM(BE$4:BE77)-46082480.22</f>
        <v>0</v>
      </c>
      <c r="DH77" s="908">
        <f>+DH$3-SUM(BF$4:BF77)-57603100.28</f>
        <v>0</v>
      </c>
      <c r="DI77" s="908">
        <f>+DI$3-SUM(BG$4:BG77)-173632202.26</f>
        <v>0</v>
      </c>
      <c r="DJ77" s="908">
        <f>+DJ$3-SUM(BH$4:BH77)-16458028.65</f>
        <v>0</v>
      </c>
    </row>
    <row r="78" spans="1:114">
      <c r="A78" s="75">
        <v>41294</v>
      </c>
      <c r="B78" s="76">
        <f t="shared" si="84"/>
        <v>0</v>
      </c>
      <c r="C78" s="76">
        <f t="shared" si="84"/>
        <v>0</v>
      </c>
      <c r="D78" s="76">
        <f t="shared" si="84"/>
        <v>0</v>
      </c>
      <c r="E78" s="76">
        <f t="shared" si="84"/>
        <v>0</v>
      </c>
      <c r="F78" s="76">
        <f t="shared" si="84"/>
        <v>0</v>
      </c>
      <c r="G78" s="76">
        <f t="shared" si="84"/>
        <v>305182211.40410846</v>
      </c>
      <c r="H78" s="76">
        <f t="shared" si="84"/>
        <v>500000000</v>
      </c>
      <c r="I78" s="76">
        <f t="shared" si="84"/>
        <v>0</v>
      </c>
      <c r="J78" s="76">
        <f t="shared" si="84"/>
        <v>0</v>
      </c>
      <c r="K78" s="76">
        <f t="shared" si="84"/>
        <v>0</v>
      </c>
      <c r="L78" s="76">
        <f t="shared" si="84"/>
        <v>0</v>
      </c>
      <c r="M78" s="76">
        <f t="shared" si="84"/>
        <v>0</v>
      </c>
      <c r="N78" s="76">
        <f t="shared" si="84"/>
        <v>0</v>
      </c>
      <c r="O78" s="76">
        <f t="shared" si="84"/>
        <v>0</v>
      </c>
      <c r="P78" s="76">
        <f t="shared" si="84"/>
        <v>0</v>
      </c>
      <c r="Q78" s="76">
        <f t="shared" si="84"/>
        <v>0</v>
      </c>
      <c r="S78" s="40">
        <v>41294</v>
      </c>
      <c r="T78" s="82">
        <f t="shared" si="107"/>
        <v>0</v>
      </c>
      <c r="U78" s="82">
        <f t="shared" si="62"/>
        <v>0</v>
      </c>
      <c r="V78" s="82">
        <f t="shared" si="63"/>
        <v>0</v>
      </c>
      <c r="W78" s="82">
        <f t="shared" si="64"/>
        <v>0</v>
      </c>
      <c r="X78" s="82">
        <f t="shared" si="65"/>
        <v>0</v>
      </c>
      <c r="Y78" s="82">
        <f t="shared" si="66"/>
        <v>0</v>
      </c>
      <c r="Z78" s="82">
        <f t="shared" si="67"/>
        <v>0</v>
      </c>
      <c r="AA78" s="82">
        <f t="shared" si="68"/>
        <v>0</v>
      </c>
      <c r="AB78" s="82">
        <f t="shared" si="69"/>
        <v>0</v>
      </c>
      <c r="AC78" s="82">
        <f t="shared" si="70"/>
        <v>0</v>
      </c>
      <c r="AD78" s="82">
        <f t="shared" si="71"/>
        <v>0</v>
      </c>
      <c r="AE78" s="82">
        <f t="shared" si="72"/>
        <v>0</v>
      </c>
      <c r="AF78" s="82">
        <f t="shared" si="73"/>
        <v>0</v>
      </c>
      <c r="AG78" s="82">
        <f t="shared" si="74"/>
        <v>0</v>
      </c>
      <c r="AH78" s="82">
        <f t="shared" si="75"/>
        <v>0</v>
      </c>
      <c r="AI78" s="82">
        <f t="shared" si="76"/>
        <v>0</v>
      </c>
      <c r="AJ78" s="40">
        <v>41294</v>
      </c>
      <c r="AK78" s="187">
        <f t="shared" si="85"/>
        <v>805182211.40410852</v>
      </c>
      <c r="AL78" s="43">
        <f t="shared" si="86"/>
        <v>805182211.40410852</v>
      </c>
      <c r="AM78" s="43">
        <f t="shared" si="87"/>
        <v>805182211.40410852</v>
      </c>
      <c r="AN78" s="43">
        <f t="shared" si="88"/>
        <v>805182211.40410852</v>
      </c>
      <c r="AO78" s="43">
        <f t="shared" si="89"/>
        <v>3220728845.6164341</v>
      </c>
      <c r="AR78" s="40">
        <v>41294</v>
      </c>
      <c r="AS78" s="63">
        <v>0</v>
      </c>
      <c r="AT78" s="63">
        <v>0</v>
      </c>
      <c r="AU78" s="63">
        <v>0</v>
      </c>
      <c r="AV78" s="63">
        <v>0</v>
      </c>
      <c r="AW78" s="63">
        <v>0</v>
      </c>
      <c r="AX78" s="63">
        <v>0</v>
      </c>
      <c r="AY78" s="63">
        <v>0</v>
      </c>
      <c r="AZ78" s="63">
        <v>0</v>
      </c>
      <c r="BA78" s="63">
        <v>0</v>
      </c>
      <c r="BB78" s="63">
        <v>0</v>
      </c>
      <c r="BC78" s="63">
        <v>0</v>
      </c>
      <c r="BD78" s="63">
        <v>0</v>
      </c>
      <c r="BE78" s="63">
        <v>0</v>
      </c>
      <c r="BF78" s="63">
        <v>0</v>
      </c>
      <c r="BG78" s="63">
        <v>0</v>
      </c>
      <c r="BH78" s="63">
        <v>0</v>
      </c>
      <c r="BJ78" s="40">
        <v>41294</v>
      </c>
      <c r="BK78" s="43">
        <f t="shared" si="90"/>
        <v>0</v>
      </c>
      <c r="BL78" s="43">
        <f t="shared" si="91"/>
        <v>0</v>
      </c>
      <c r="BM78" s="43">
        <f t="shared" si="92"/>
        <v>0</v>
      </c>
      <c r="BN78" s="43">
        <f t="shared" si="93"/>
        <v>0</v>
      </c>
      <c r="BO78" s="43">
        <f t="shared" si="94"/>
        <v>0</v>
      </c>
      <c r="BP78" s="43">
        <f t="shared" si="95"/>
        <v>0</v>
      </c>
      <c r="BQ78" s="43">
        <f t="shared" si="96"/>
        <v>0</v>
      </c>
      <c r="BR78" s="43">
        <f t="shared" si="97"/>
        <v>0</v>
      </c>
      <c r="BS78" s="43">
        <f t="shared" si="98"/>
        <v>0</v>
      </c>
      <c r="BT78" s="43">
        <f t="shared" si="99"/>
        <v>0</v>
      </c>
      <c r="BU78" s="43">
        <f t="shared" si="100"/>
        <v>0</v>
      </c>
      <c r="BV78" s="43">
        <f t="shared" si="101"/>
        <v>0</v>
      </c>
      <c r="BW78" s="43">
        <f t="shared" si="102"/>
        <v>0</v>
      </c>
      <c r="BX78" s="43">
        <f t="shared" si="103"/>
        <v>0</v>
      </c>
      <c r="BY78" s="43">
        <f t="shared" si="104"/>
        <v>0</v>
      </c>
      <c r="BZ78" s="43">
        <f t="shared" si="105"/>
        <v>0</v>
      </c>
      <c r="CA78" s="40">
        <v>41294</v>
      </c>
      <c r="CB78" s="43">
        <f t="shared" si="108"/>
        <v>0</v>
      </c>
      <c r="CC78" s="43">
        <f t="shared" si="108"/>
        <v>0</v>
      </c>
      <c r="CD78" s="43">
        <f t="shared" si="108"/>
        <v>0</v>
      </c>
      <c r="CE78" s="43">
        <f t="shared" si="108"/>
        <v>0</v>
      </c>
      <c r="CF78" s="43">
        <f t="shared" si="108"/>
        <v>0</v>
      </c>
      <c r="CG78" s="43">
        <f t="shared" si="108"/>
        <v>0</v>
      </c>
      <c r="CH78" s="43">
        <f t="shared" si="108"/>
        <v>0</v>
      </c>
      <c r="CI78" s="43">
        <f t="shared" si="108"/>
        <v>0</v>
      </c>
      <c r="CJ78" s="43">
        <f t="shared" si="108"/>
        <v>0</v>
      </c>
      <c r="CK78" s="43">
        <f t="shared" si="108"/>
        <v>0</v>
      </c>
      <c r="CL78" s="43">
        <f t="shared" si="108"/>
        <v>0</v>
      </c>
      <c r="CM78" s="43">
        <f t="shared" si="108"/>
        <v>0</v>
      </c>
      <c r="CN78" s="43">
        <f t="shared" si="108"/>
        <v>0</v>
      </c>
      <c r="CO78" s="43">
        <f t="shared" si="108"/>
        <v>0</v>
      </c>
      <c r="CP78" s="43">
        <f t="shared" si="108"/>
        <v>0</v>
      </c>
      <c r="CQ78" s="43">
        <f t="shared" si="61"/>
        <v>0</v>
      </c>
      <c r="CR78" s="64">
        <f t="shared" si="106"/>
        <v>0</v>
      </c>
      <c r="CT78" s="40">
        <v>41294</v>
      </c>
      <c r="CU78" s="269">
        <f>+CU$3-SUM(AS$4:AS78)</f>
        <v>0</v>
      </c>
      <c r="CV78" s="269">
        <f>+CV$3-SUM(AT$4:AT78)</f>
        <v>1.0000050067901611E-2</v>
      </c>
      <c r="CW78" s="269">
        <f>+CW$3-SUM(AU$4:AU78)</f>
        <v>0</v>
      </c>
      <c r="CX78" s="269">
        <f>+CX$3-SUM(AV$4:AV78)</f>
        <v>0</v>
      </c>
      <c r="CY78" s="908">
        <f>+CY$3-SUM(AW$4:AW78)-667256146.32</f>
        <v>0</v>
      </c>
      <c r="CZ78" s="269">
        <f>+CZ$3-SUM(AX$4:AX78)</f>
        <v>305182211.39999998</v>
      </c>
      <c r="DA78" s="269">
        <f>+DA$3-SUM(AY$4:AY78)</f>
        <v>500000000</v>
      </c>
      <c r="DB78" s="269">
        <f>+DB$3-SUM(AZ$4:AZ78)</f>
        <v>0</v>
      </c>
      <c r="DC78" s="908">
        <f>+DC$3-SUM(BA$4:BA78)-137424539.23</f>
        <v>0</v>
      </c>
      <c r="DD78" s="908">
        <f>+DD$3-SUM(BB$4:BB78)-18926732.95</f>
        <v>0</v>
      </c>
      <c r="DE78" s="269">
        <f>+DE$3-SUM(BC$4:BC78)</f>
        <v>0</v>
      </c>
      <c r="DF78" s="908">
        <f>+DF$3-SUM(BD$4:BD78)-74884030.36</f>
        <v>0</v>
      </c>
      <c r="DG78" s="908">
        <f>+DG$3-SUM(BE$4:BE78)-46082480.22</f>
        <v>0</v>
      </c>
      <c r="DH78" s="908">
        <f>+DH$3-SUM(BF$4:BF78)-57603100.28</f>
        <v>0</v>
      </c>
      <c r="DI78" s="908">
        <f>+DI$3-SUM(BG$4:BG78)-173632202.26</f>
        <v>0</v>
      </c>
      <c r="DJ78" s="908">
        <f>+DJ$3-SUM(BH$4:BH78)-16458028.65</f>
        <v>0</v>
      </c>
    </row>
    <row r="79" spans="1:114">
      <c r="A79" s="75">
        <v>41325</v>
      </c>
      <c r="B79" s="76">
        <f t="shared" si="84"/>
        <v>0</v>
      </c>
      <c r="C79" s="76">
        <f t="shared" si="84"/>
        <v>0</v>
      </c>
      <c r="D79" s="76">
        <f t="shared" si="84"/>
        <v>0</v>
      </c>
      <c r="E79" s="76">
        <f t="shared" si="84"/>
        <v>0</v>
      </c>
      <c r="F79" s="76">
        <f t="shared" si="84"/>
        <v>0</v>
      </c>
      <c r="G79" s="76">
        <f t="shared" si="84"/>
        <v>146027638.20985916</v>
      </c>
      <c r="H79" s="76">
        <f t="shared" si="84"/>
        <v>500000000</v>
      </c>
      <c r="I79" s="76">
        <f t="shared" si="84"/>
        <v>0</v>
      </c>
      <c r="J79" s="76">
        <f t="shared" si="84"/>
        <v>0</v>
      </c>
      <c r="K79" s="76">
        <f t="shared" si="84"/>
        <v>0</v>
      </c>
      <c r="L79" s="76">
        <f t="shared" si="84"/>
        <v>0</v>
      </c>
      <c r="M79" s="76">
        <f t="shared" si="84"/>
        <v>0</v>
      </c>
      <c r="N79" s="76">
        <f t="shared" si="84"/>
        <v>0</v>
      </c>
      <c r="O79" s="76">
        <f t="shared" si="84"/>
        <v>0</v>
      </c>
      <c r="P79" s="76">
        <f t="shared" si="84"/>
        <v>0</v>
      </c>
      <c r="Q79" s="76">
        <f t="shared" si="84"/>
        <v>0</v>
      </c>
      <c r="S79" s="40">
        <v>41325</v>
      </c>
      <c r="T79" s="82">
        <f t="shared" si="107"/>
        <v>0</v>
      </c>
      <c r="U79" s="82">
        <f t="shared" si="62"/>
        <v>0</v>
      </c>
      <c r="V79" s="82">
        <f t="shared" si="63"/>
        <v>0</v>
      </c>
      <c r="W79" s="82">
        <f t="shared" si="64"/>
        <v>0</v>
      </c>
      <c r="X79" s="82">
        <f t="shared" si="65"/>
        <v>0</v>
      </c>
      <c r="Y79" s="82">
        <f t="shared" si="66"/>
        <v>159154573.19</v>
      </c>
      <c r="Z79" s="82">
        <f t="shared" si="67"/>
        <v>0</v>
      </c>
      <c r="AA79" s="82">
        <f t="shared" si="68"/>
        <v>0</v>
      </c>
      <c r="AB79" s="82">
        <f t="shared" si="69"/>
        <v>0</v>
      </c>
      <c r="AC79" s="82">
        <f t="shared" si="70"/>
        <v>0</v>
      </c>
      <c r="AD79" s="82">
        <f t="shared" si="71"/>
        <v>0</v>
      </c>
      <c r="AE79" s="82">
        <f t="shared" si="72"/>
        <v>0</v>
      </c>
      <c r="AF79" s="82">
        <f t="shared" si="73"/>
        <v>0</v>
      </c>
      <c r="AG79" s="82">
        <f t="shared" si="74"/>
        <v>0</v>
      </c>
      <c r="AH79" s="82">
        <f t="shared" si="75"/>
        <v>0</v>
      </c>
      <c r="AI79" s="82">
        <f t="shared" si="76"/>
        <v>0</v>
      </c>
      <c r="AJ79" s="40">
        <v>41325</v>
      </c>
      <c r="AK79" s="187">
        <f t="shared" si="85"/>
        <v>646027638.20985913</v>
      </c>
      <c r="AL79" s="43">
        <f t="shared" si="86"/>
        <v>646027638.20985913</v>
      </c>
      <c r="AM79" s="43">
        <f t="shared" si="87"/>
        <v>646027638.20985913</v>
      </c>
      <c r="AN79" s="43">
        <f t="shared" si="88"/>
        <v>646027638.20985913</v>
      </c>
      <c r="AO79" s="43">
        <f t="shared" si="89"/>
        <v>2584110552.8394365</v>
      </c>
      <c r="AR79" s="40">
        <v>41325</v>
      </c>
      <c r="AS79" s="63">
        <v>0</v>
      </c>
      <c r="AT79" s="63">
        <v>0</v>
      </c>
      <c r="AU79" s="63">
        <v>0</v>
      </c>
      <c r="AV79" s="63">
        <v>0</v>
      </c>
      <c r="AW79" s="63">
        <v>0</v>
      </c>
      <c r="AX79" s="85">
        <v>159154573.19</v>
      </c>
      <c r="AY79" s="63">
        <v>0</v>
      </c>
      <c r="AZ79" s="63">
        <v>0</v>
      </c>
      <c r="BA79" s="63">
        <v>0</v>
      </c>
      <c r="BB79" s="63">
        <v>0</v>
      </c>
      <c r="BC79" s="63">
        <v>0</v>
      </c>
      <c r="BD79" s="63">
        <v>0</v>
      </c>
      <c r="BE79" s="63">
        <v>0</v>
      </c>
      <c r="BF79" s="63">
        <v>0</v>
      </c>
      <c r="BG79" s="63">
        <v>0</v>
      </c>
      <c r="BH79" s="63">
        <v>0</v>
      </c>
      <c r="BJ79" s="40">
        <v>41325</v>
      </c>
      <c r="BK79" s="43">
        <f t="shared" si="90"/>
        <v>0</v>
      </c>
      <c r="BL79" s="43">
        <f t="shared" si="91"/>
        <v>0</v>
      </c>
      <c r="BM79" s="43">
        <f t="shared" si="92"/>
        <v>0</v>
      </c>
      <c r="BN79" s="43">
        <f t="shared" si="93"/>
        <v>0</v>
      </c>
      <c r="BO79" s="43">
        <f t="shared" si="94"/>
        <v>0</v>
      </c>
      <c r="BP79" s="43">
        <f t="shared" si="95"/>
        <v>0</v>
      </c>
      <c r="BQ79" s="43">
        <f t="shared" si="96"/>
        <v>0</v>
      </c>
      <c r="BR79" s="43">
        <f t="shared" si="97"/>
        <v>0</v>
      </c>
      <c r="BS79" s="43">
        <f t="shared" si="98"/>
        <v>0</v>
      </c>
      <c r="BT79" s="43">
        <f t="shared" si="99"/>
        <v>0</v>
      </c>
      <c r="BU79" s="43">
        <f t="shared" si="100"/>
        <v>0</v>
      </c>
      <c r="BV79" s="43">
        <f t="shared" si="101"/>
        <v>0</v>
      </c>
      <c r="BW79" s="43">
        <f t="shared" si="102"/>
        <v>0</v>
      </c>
      <c r="BX79" s="43">
        <f t="shared" si="103"/>
        <v>0</v>
      </c>
      <c r="BY79" s="43">
        <f t="shared" si="104"/>
        <v>0</v>
      </c>
      <c r="BZ79" s="43">
        <f t="shared" si="105"/>
        <v>0</v>
      </c>
      <c r="CA79" s="40">
        <v>41325</v>
      </c>
      <c r="CB79" s="43">
        <f t="shared" si="108"/>
        <v>0</v>
      </c>
      <c r="CC79" s="43">
        <f t="shared" si="108"/>
        <v>0</v>
      </c>
      <c r="CD79" s="43">
        <f t="shared" si="108"/>
        <v>0</v>
      </c>
      <c r="CE79" s="43">
        <f t="shared" si="108"/>
        <v>0</v>
      </c>
      <c r="CF79" s="43">
        <f t="shared" si="108"/>
        <v>0</v>
      </c>
      <c r="CG79" s="43">
        <f t="shared" si="108"/>
        <v>0</v>
      </c>
      <c r="CH79" s="43">
        <f t="shared" si="108"/>
        <v>0</v>
      </c>
      <c r="CI79" s="43">
        <f t="shared" si="108"/>
        <v>0</v>
      </c>
      <c r="CJ79" s="43">
        <f t="shared" si="108"/>
        <v>0</v>
      </c>
      <c r="CK79" s="43">
        <f t="shared" si="108"/>
        <v>0</v>
      </c>
      <c r="CL79" s="43">
        <f t="shared" si="108"/>
        <v>0</v>
      </c>
      <c r="CM79" s="43">
        <f t="shared" si="108"/>
        <v>0</v>
      </c>
      <c r="CN79" s="43">
        <f t="shared" si="108"/>
        <v>0</v>
      </c>
      <c r="CO79" s="43">
        <f t="shared" si="108"/>
        <v>0</v>
      </c>
      <c r="CP79" s="43">
        <f t="shared" si="108"/>
        <v>0</v>
      </c>
      <c r="CQ79" s="43">
        <f t="shared" si="61"/>
        <v>0</v>
      </c>
      <c r="CR79" s="64">
        <f t="shared" si="106"/>
        <v>0</v>
      </c>
      <c r="CT79" s="40">
        <v>41325</v>
      </c>
      <c r="CU79" s="269">
        <f>+CU$3-SUM(AS$4:AS79)</f>
        <v>0</v>
      </c>
      <c r="CV79" s="269">
        <f>+CV$3-SUM(AT$4:AT79)</f>
        <v>1.0000050067901611E-2</v>
      </c>
      <c r="CW79" s="269">
        <f>+CW$3-SUM(AU$4:AU79)</f>
        <v>0</v>
      </c>
      <c r="CX79" s="269">
        <f>+CX$3-SUM(AV$4:AV79)</f>
        <v>0</v>
      </c>
      <c r="CY79" s="908">
        <f>+CY$3-SUM(AW$4:AW79)-667256146.32</f>
        <v>0</v>
      </c>
      <c r="CZ79" s="269">
        <f>+CZ$3-SUM(AX$4:AX79)</f>
        <v>146027638.21000004</v>
      </c>
      <c r="DA79" s="269">
        <f>+DA$3-SUM(AY$4:AY79)</f>
        <v>500000000</v>
      </c>
      <c r="DB79" s="269">
        <f>+DB$3-SUM(AZ$4:AZ79)</f>
        <v>0</v>
      </c>
      <c r="DC79" s="908">
        <f>+DC$3-SUM(BA$4:BA79)-137424539.23</f>
        <v>0</v>
      </c>
      <c r="DD79" s="908">
        <f>+DD$3-SUM(BB$4:BB79)-18926732.95</f>
        <v>0</v>
      </c>
      <c r="DE79" s="269">
        <f>+DE$3-SUM(BC$4:BC79)</f>
        <v>0</v>
      </c>
      <c r="DF79" s="908">
        <f>+DF$3-SUM(BD$4:BD79)-74884030.36</f>
        <v>0</v>
      </c>
      <c r="DG79" s="908">
        <f>+DG$3-SUM(BE$4:BE79)-46082480.22</f>
        <v>0</v>
      </c>
      <c r="DH79" s="908">
        <f>+DH$3-SUM(BF$4:BF79)-57603100.28</f>
        <v>0</v>
      </c>
      <c r="DI79" s="908">
        <f>+DI$3-SUM(BG$4:BG79)-173632202.26</f>
        <v>0</v>
      </c>
      <c r="DJ79" s="908">
        <f>+DJ$3-SUM(BH$4:BH79)-16458028.65</f>
        <v>0</v>
      </c>
    </row>
    <row r="80" spans="1:114">
      <c r="A80" s="75">
        <v>41353</v>
      </c>
      <c r="B80" s="76">
        <f t="shared" si="84"/>
        <v>0</v>
      </c>
      <c r="C80" s="76">
        <f t="shared" si="84"/>
        <v>0</v>
      </c>
      <c r="D80" s="76">
        <f t="shared" si="84"/>
        <v>0</v>
      </c>
      <c r="E80" s="76">
        <f t="shared" si="84"/>
        <v>0</v>
      </c>
      <c r="F80" s="76">
        <f t="shared" si="84"/>
        <v>0</v>
      </c>
      <c r="G80" s="76">
        <f t="shared" si="84"/>
        <v>146027638.20985916</v>
      </c>
      <c r="H80" s="76">
        <f t="shared" si="84"/>
        <v>500000000</v>
      </c>
      <c r="I80" s="76">
        <f t="shared" si="84"/>
        <v>0</v>
      </c>
      <c r="J80" s="76">
        <f t="shared" si="84"/>
        <v>0</v>
      </c>
      <c r="K80" s="76">
        <f t="shared" si="84"/>
        <v>0</v>
      </c>
      <c r="L80" s="76">
        <f t="shared" si="84"/>
        <v>0</v>
      </c>
      <c r="M80" s="76">
        <f t="shared" si="84"/>
        <v>0</v>
      </c>
      <c r="N80" s="76">
        <f t="shared" si="84"/>
        <v>0</v>
      </c>
      <c r="O80" s="76">
        <f t="shared" si="84"/>
        <v>0</v>
      </c>
      <c r="P80" s="76">
        <f t="shared" si="84"/>
        <v>0</v>
      </c>
      <c r="Q80" s="76">
        <f t="shared" si="84"/>
        <v>0</v>
      </c>
      <c r="S80" s="40">
        <v>41353</v>
      </c>
      <c r="T80" s="82">
        <f t="shared" si="107"/>
        <v>0</v>
      </c>
      <c r="U80" s="82">
        <f t="shared" si="62"/>
        <v>0</v>
      </c>
      <c r="V80" s="82">
        <f t="shared" si="63"/>
        <v>0</v>
      </c>
      <c r="W80" s="82">
        <f t="shared" si="64"/>
        <v>0</v>
      </c>
      <c r="X80" s="82">
        <f t="shared" si="65"/>
        <v>0</v>
      </c>
      <c r="Y80" s="82">
        <f t="shared" si="66"/>
        <v>0</v>
      </c>
      <c r="Z80" s="82">
        <f t="shared" si="67"/>
        <v>0</v>
      </c>
      <c r="AA80" s="82">
        <f t="shared" si="68"/>
        <v>0</v>
      </c>
      <c r="AB80" s="82">
        <f t="shared" si="69"/>
        <v>0</v>
      </c>
      <c r="AC80" s="82">
        <f t="shared" si="70"/>
        <v>0</v>
      </c>
      <c r="AD80" s="82">
        <f t="shared" si="71"/>
        <v>0</v>
      </c>
      <c r="AE80" s="82">
        <f t="shared" si="72"/>
        <v>0</v>
      </c>
      <c r="AF80" s="82">
        <f t="shared" si="73"/>
        <v>0</v>
      </c>
      <c r="AG80" s="82">
        <f t="shared" si="74"/>
        <v>0</v>
      </c>
      <c r="AH80" s="82">
        <f t="shared" si="75"/>
        <v>0</v>
      </c>
      <c r="AI80" s="82">
        <f t="shared" si="76"/>
        <v>0</v>
      </c>
      <c r="AJ80" s="40">
        <v>41353</v>
      </c>
      <c r="AK80" s="187">
        <f t="shared" si="85"/>
        <v>646027638.20985913</v>
      </c>
      <c r="AL80" s="43">
        <f t="shared" si="86"/>
        <v>646027638.20985913</v>
      </c>
      <c r="AM80" s="43">
        <f t="shared" si="87"/>
        <v>646027638.20985913</v>
      </c>
      <c r="AN80" s="43">
        <f t="shared" si="88"/>
        <v>646027638.20985913</v>
      </c>
      <c r="AO80" s="43">
        <f t="shared" si="89"/>
        <v>2584110552.8394365</v>
      </c>
      <c r="AR80" s="40">
        <v>41353</v>
      </c>
      <c r="AS80" s="63">
        <v>0</v>
      </c>
      <c r="AT80" s="63">
        <v>0</v>
      </c>
      <c r="AU80" s="63">
        <v>0</v>
      </c>
      <c r="AV80" s="63">
        <v>0</v>
      </c>
      <c r="AW80" s="63">
        <v>0</v>
      </c>
      <c r="AX80" s="63">
        <v>0</v>
      </c>
      <c r="AY80" s="63">
        <v>0</v>
      </c>
      <c r="AZ80" s="63">
        <v>0</v>
      </c>
      <c r="BA80" s="63">
        <v>0</v>
      </c>
      <c r="BB80" s="63">
        <v>0</v>
      </c>
      <c r="BC80" s="63">
        <v>0</v>
      </c>
      <c r="BD80" s="63">
        <v>0</v>
      </c>
      <c r="BE80" s="63">
        <v>0</v>
      </c>
      <c r="BF80" s="63">
        <v>0</v>
      </c>
      <c r="BG80" s="63">
        <v>0</v>
      </c>
      <c r="BH80" s="63">
        <v>0</v>
      </c>
      <c r="BJ80" s="40">
        <v>41353</v>
      </c>
      <c r="BK80" s="43">
        <f t="shared" si="90"/>
        <v>0</v>
      </c>
      <c r="BL80" s="43">
        <f t="shared" si="91"/>
        <v>0</v>
      </c>
      <c r="BM80" s="43">
        <f t="shared" si="92"/>
        <v>0</v>
      </c>
      <c r="BN80" s="43">
        <f t="shared" si="93"/>
        <v>0</v>
      </c>
      <c r="BO80" s="43">
        <f t="shared" si="94"/>
        <v>0</v>
      </c>
      <c r="BP80" s="43">
        <f t="shared" si="95"/>
        <v>0</v>
      </c>
      <c r="BQ80" s="43">
        <f t="shared" si="96"/>
        <v>0</v>
      </c>
      <c r="BR80" s="43">
        <f t="shared" si="97"/>
        <v>0</v>
      </c>
      <c r="BS80" s="43">
        <f t="shared" si="98"/>
        <v>0</v>
      </c>
      <c r="BT80" s="43">
        <f t="shared" si="99"/>
        <v>0</v>
      </c>
      <c r="BU80" s="43">
        <f t="shared" si="100"/>
        <v>0</v>
      </c>
      <c r="BV80" s="43">
        <f t="shared" si="101"/>
        <v>0</v>
      </c>
      <c r="BW80" s="43">
        <f t="shared" si="102"/>
        <v>0</v>
      </c>
      <c r="BX80" s="43">
        <f t="shared" si="103"/>
        <v>0</v>
      </c>
      <c r="BY80" s="43">
        <f t="shared" si="104"/>
        <v>0</v>
      </c>
      <c r="BZ80" s="43">
        <f t="shared" si="105"/>
        <v>0</v>
      </c>
      <c r="CA80" s="40">
        <v>41353</v>
      </c>
      <c r="CB80" s="43">
        <f t="shared" si="108"/>
        <v>0</v>
      </c>
      <c r="CC80" s="43">
        <f t="shared" si="108"/>
        <v>0</v>
      </c>
      <c r="CD80" s="43">
        <f t="shared" si="108"/>
        <v>0</v>
      </c>
      <c r="CE80" s="43">
        <f t="shared" si="108"/>
        <v>0</v>
      </c>
      <c r="CF80" s="43">
        <f t="shared" si="108"/>
        <v>0</v>
      </c>
      <c r="CG80" s="43">
        <f t="shared" si="108"/>
        <v>0</v>
      </c>
      <c r="CH80" s="43">
        <f t="shared" si="108"/>
        <v>0</v>
      </c>
      <c r="CI80" s="43">
        <f t="shared" si="108"/>
        <v>0</v>
      </c>
      <c r="CJ80" s="43">
        <f t="shared" si="108"/>
        <v>0</v>
      </c>
      <c r="CK80" s="43">
        <f t="shared" si="108"/>
        <v>0</v>
      </c>
      <c r="CL80" s="43">
        <f t="shared" si="108"/>
        <v>0</v>
      </c>
      <c r="CM80" s="43">
        <f t="shared" si="108"/>
        <v>0</v>
      </c>
      <c r="CN80" s="43">
        <f t="shared" si="108"/>
        <v>0</v>
      </c>
      <c r="CO80" s="43">
        <f t="shared" si="108"/>
        <v>0</v>
      </c>
      <c r="CP80" s="43">
        <f t="shared" si="108"/>
        <v>0</v>
      </c>
      <c r="CQ80" s="43">
        <f t="shared" si="61"/>
        <v>0</v>
      </c>
      <c r="CR80" s="64">
        <f t="shared" si="106"/>
        <v>0</v>
      </c>
      <c r="CT80" s="40">
        <v>41353</v>
      </c>
      <c r="CU80" s="269">
        <f>+CU$3-SUM(AS$4:AS80)</f>
        <v>0</v>
      </c>
      <c r="CV80" s="269">
        <f>+CV$3-SUM(AT$4:AT80)</f>
        <v>1.0000050067901611E-2</v>
      </c>
      <c r="CW80" s="269">
        <f>+CW$3-SUM(AU$4:AU80)</f>
        <v>0</v>
      </c>
      <c r="CX80" s="269">
        <f>+CX$3-SUM(AV$4:AV80)</f>
        <v>0</v>
      </c>
      <c r="CY80" s="908">
        <f>+CY$3-SUM(AW$4:AW80)-667256146.32</f>
        <v>0</v>
      </c>
      <c r="CZ80" s="269">
        <f>+CZ$3-SUM(AX$4:AX80)</f>
        <v>146027638.21000004</v>
      </c>
      <c r="DA80" s="269">
        <f>+DA$3-SUM(AY$4:AY80)</f>
        <v>500000000</v>
      </c>
      <c r="DB80" s="269">
        <f>+DB$3-SUM(AZ$4:AZ80)</f>
        <v>0</v>
      </c>
      <c r="DC80" s="908">
        <f>+DC$3-SUM(BA$4:BA80)-137424539.23</f>
        <v>0</v>
      </c>
      <c r="DD80" s="908">
        <f>+DD$3-SUM(BB$4:BB80)-18926732.95</f>
        <v>0</v>
      </c>
      <c r="DE80" s="269">
        <f>+DE$3-SUM(BC$4:BC80)</f>
        <v>0</v>
      </c>
      <c r="DF80" s="908">
        <f>+DF$3-SUM(BD$4:BD80)-74884030.36</f>
        <v>0</v>
      </c>
      <c r="DG80" s="908">
        <f>+DG$3-SUM(BE$4:BE80)-46082480.22</f>
        <v>0</v>
      </c>
      <c r="DH80" s="908">
        <f>+DH$3-SUM(BF$4:BF80)-57603100.28</f>
        <v>0</v>
      </c>
      <c r="DI80" s="908">
        <f>+DI$3-SUM(BG$4:BG80)-173632202.26</f>
        <v>0</v>
      </c>
      <c r="DJ80" s="908">
        <f>+DJ$3-SUM(BH$4:BH80)-16458028.65</f>
        <v>0</v>
      </c>
    </row>
    <row r="81" spans="1:114">
      <c r="A81" s="75">
        <v>41384</v>
      </c>
      <c r="B81" s="76">
        <f t="shared" si="84"/>
        <v>0</v>
      </c>
      <c r="C81" s="76">
        <f t="shared" si="84"/>
        <v>0</v>
      </c>
      <c r="D81" s="76">
        <f t="shared" si="84"/>
        <v>0</v>
      </c>
      <c r="E81" s="76">
        <f t="shared" si="84"/>
        <v>0</v>
      </c>
      <c r="F81" s="76">
        <f t="shared" si="84"/>
        <v>0</v>
      </c>
      <c r="G81" s="76">
        <f t="shared" si="84"/>
        <v>146027638.20985916</v>
      </c>
      <c r="H81" s="76">
        <f t="shared" si="84"/>
        <v>500000000</v>
      </c>
      <c r="I81" s="76">
        <f t="shared" si="84"/>
        <v>0</v>
      </c>
      <c r="J81" s="76">
        <f t="shared" si="84"/>
        <v>0</v>
      </c>
      <c r="K81" s="76">
        <f t="shared" si="84"/>
        <v>0</v>
      </c>
      <c r="L81" s="76">
        <f t="shared" si="84"/>
        <v>0</v>
      </c>
      <c r="M81" s="76">
        <f t="shared" si="84"/>
        <v>0</v>
      </c>
      <c r="N81" s="76">
        <f t="shared" si="84"/>
        <v>0</v>
      </c>
      <c r="O81" s="76">
        <f t="shared" si="84"/>
        <v>0</v>
      </c>
      <c r="P81" s="76">
        <f t="shared" si="84"/>
        <v>0</v>
      </c>
      <c r="Q81" s="76">
        <f t="shared" si="84"/>
        <v>0</v>
      </c>
      <c r="S81" s="40">
        <v>41384</v>
      </c>
      <c r="T81" s="82">
        <f t="shared" si="107"/>
        <v>0</v>
      </c>
      <c r="U81" s="82">
        <f t="shared" si="62"/>
        <v>0</v>
      </c>
      <c r="V81" s="82">
        <f t="shared" si="63"/>
        <v>0</v>
      </c>
      <c r="W81" s="82">
        <f t="shared" si="64"/>
        <v>0</v>
      </c>
      <c r="X81" s="82">
        <f t="shared" si="65"/>
        <v>0</v>
      </c>
      <c r="Y81" s="82">
        <f t="shared" si="66"/>
        <v>0</v>
      </c>
      <c r="Z81" s="82">
        <f t="shared" si="67"/>
        <v>0</v>
      </c>
      <c r="AA81" s="82">
        <f t="shared" si="68"/>
        <v>0</v>
      </c>
      <c r="AB81" s="82">
        <f t="shared" si="69"/>
        <v>0</v>
      </c>
      <c r="AC81" s="82">
        <f t="shared" si="70"/>
        <v>0</v>
      </c>
      <c r="AD81" s="82">
        <f t="shared" si="71"/>
        <v>0</v>
      </c>
      <c r="AE81" s="82">
        <f t="shared" si="72"/>
        <v>0</v>
      </c>
      <c r="AF81" s="82">
        <f t="shared" si="73"/>
        <v>0</v>
      </c>
      <c r="AG81" s="82">
        <f t="shared" si="74"/>
        <v>0</v>
      </c>
      <c r="AH81" s="82">
        <f t="shared" si="75"/>
        <v>0</v>
      </c>
      <c r="AI81" s="82">
        <f t="shared" si="76"/>
        <v>0</v>
      </c>
      <c r="AJ81" s="40">
        <v>41384</v>
      </c>
      <c r="AK81" s="187">
        <f t="shared" si="85"/>
        <v>646027638.20985913</v>
      </c>
      <c r="AL81" s="43">
        <f t="shared" si="86"/>
        <v>646027638.20985913</v>
      </c>
      <c r="AM81" s="43">
        <f t="shared" si="87"/>
        <v>646027638.20985913</v>
      </c>
      <c r="AN81" s="43">
        <f t="shared" si="88"/>
        <v>646027638.20985913</v>
      </c>
      <c r="AO81" s="43">
        <f t="shared" si="89"/>
        <v>2584110552.8394365</v>
      </c>
      <c r="AR81" s="40">
        <v>41384</v>
      </c>
      <c r="AS81" s="63">
        <v>0</v>
      </c>
      <c r="AT81" s="63">
        <v>0</v>
      </c>
      <c r="AU81" s="63">
        <v>0</v>
      </c>
      <c r="AV81" s="63">
        <v>0</v>
      </c>
      <c r="AW81" s="63">
        <v>0</v>
      </c>
      <c r="AX81" s="63">
        <v>0</v>
      </c>
      <c r="AY81" s="63">
        <v>0</v>
      </c>
      <c r="AZ81" s="63">
        <v>0</v>
      </c>
      <c r="BA81" s="63">
        <v>0</v>
      </c>
      <c r="BB81" s="63">
        <v>0</v>
      </c>
      <c r="BC81" s="63">
        <v>0</v>
      </c>
      <c r="BD81" s="63">
        <v>0</v>
      </c>
      <c r="BE81" s="63">
        <v>0</v>
      </c>
      <c r="BF81" s="63">
        <v>0</v>
      </c>
      <c r="BG81" s="63">
        <v>0</v>
      </c>
      <c r="BH81" s="63">
        <v>0</v>
      </c>
      <c r="BJ81" s="40">
        <v>41384</v>
      </c>
      <c r="BK81" s="43">
        <f t="shared" si="90"/>
        <v>0</v>
      </c>
      <c r="BL81" s="43">
        <f t="shared" si="91"/>
        <v>0</v>
      </c>
      <c r="BM81" s="43">
        <f t="shared" si="92"/>
        <v>0</v>
      </c>
      <c r="BN81" s="43">
        <f t="shared" si="93"/>
        <v>0</v>
      </c>
      <c r="BO81" s="43">
        <f t="shared" si="94"/>
        <v>0</v>
      </c>
      <c r="BP81" s="43">
        <f t="shared" si="95"/>
        <v>0</v>
      </c>
      <c r="BQ81" s="43">
        <f t="shared" si="96"/>
        <v>0</v>
      </c>
      <c r="BR81" s="43">
        <f t="shared" si="97"/>
        <v>0</v>
      </c>
      <c r="BS81" s="43">
        <f t="shared" si="98"/>
        <v>0</v>
      </c>
      <c r="BT81" s="43">
        <f t="shared" si="99"/>
        <v>0</v>
      </c>
      <c r="BU81" s="43">
        <f t="shared" si="100"/>
        <v>0</v>
      </c>
      <c r="BV81" s="43">
        <f t="shared" si="101"/>
        <v>0</v>
      </c>
      <c r="BW81" s="43">
        <f t="shared" si="102"/>
        <v>0</v>
      </c>
      <c r="BX81" s="43">
        <f t="shared" si="103"/>
        <v>0</v>
      </c>
      <c r="BY81" s="43">
        <f t="shared" si="104"/>
        <v>0</v>
      </c>
      <c r="BZ81" s="43">
        <f t="shared" si="105"/>
        <v>0</v>
      </c>
      <c r="CA81" s="40">
        <v>41384</v>
      </c>
      <c r="CB81" s="43">
        <f t="shared" si="108"/>
        <v>0</v>
      </c>
      <c r="CC81" s="43">
        <f t="shared" si="108"/>
        <v>0</v>
      </c>
      <c r="CD81" s="43">
        <f t="shared" si="108"/>
        <v>0</v>
      </c>
      <c r="CE81" s="43">
        <f t="shared" si="108"/>
        <v>0</v>
      </c>
      <c r="CF81" s="43">
        <f t="shared" si="108"/>
        <v>0</v>
      </c>
      <c r="CG81" s="43">
        <f t="shared" si="108"/>
        <v>0</v>
      </c>
      <c r="CH81" s="43">
        <f t="shared" si="108"/>
        <v>0</v>
      </c>
      <c r="CI81" s="43">
        <f t="shared" si="108"/>
        <v>0</v>
      </c>
      <c r="CJ81" s="43">
        <f t="shared" si="108"/>
        <v>0</v>
      </c>
      <c r="CK81" s="43">
        <f t="shared" si="108"/>
        <v>0</v>
      </c>
      <c r="CL81" s="43">
        <f t="shared" si="108"/>
        <v>0</v>
      </c>
      <c r="CM81" s="43">
        <f t="shared" si="108"/>
        <v>0</v>
      </c>
      <c r="CN81" s="43">
        <f t="shared" si="108"/>
        <v>0</v>
      </c>
      <c r="CO81" s="43">
        <f t="shared" si="108"/>
        <v>0</v>
      </c>
      <c r="CP81" s="43">
        <f t="shared" si="108"/>
        <v>0</v>
      </c>
      <c r="CQ81" s="43">
        <f t="shared" si="61"/>
        <v>0</v>
      </c>
      <c r="CR81" s="64">
        <f t="shared" si="106"/>
        <v>0</v>
      </c>
      <c r="CT81" s="40">
        <v>41384</v>
      </c>
      <c r="CU81" s="269">
        <f>+CU$3-SUM(AS$4:AS81)</f>
        <v>0</v>
      </c>
      <c r="CV81" s="269">
        <f>+CV$3-SUM(AT$4:AT81)</f>
        <v>1.0000050067901611E-2</v>
      </c>
      <c r="CW81" s="269">
        <f>+CW$3-SUM(AU$4:AU81)</f>
        <v>0</v>
      </c>
      <c r="CX81" s="269">
        <f>+CX$3-SUM(AV$4:AV81)</f>
        <v>0</v>
      </c>
      <c r="CY81" s="908">
        <f>+CY$3-SUM(AW$4:AW81)-667256146.32</f>
        <v>0</v>
      </c>
      <c r="CZ81" s="269">
        <f>+CZ$3-SUM(AX$4:AX81)</f>
        <v>146027638.21000004</v>
      </c>
      <c r="DA81" s="269">
        <f>+DA$3-SUM(AY$4:AY81)</f>
        <v>500000000</v>
      </c>
      <c r="DB81" s="269">
        <f>+DB$3-SUM(AZ$4:AZ81)</f>
        <v>0</v>
      </c>
      <c r="DC81" s="908">
        <f>+DC$3-SUM(BA$4:BA81)-137424539.23</f>
        <v>0</v>
      </c>
      <c r="DD81" s="908">
        <f>+DD$3-SUM(BB$4:BB81)-18926732.95</f>
        <v>0</v>
      </c>
      <c r="DE81" s="269">
        <f>+DE$3-SUM(BC$4:BC81)</f>
        <v>0</v>
      </c>
      <c r="DF81" s="908">
        <f>+DF$3-SUM(BD$4:BD81)-74884030.36</f>
        <v>0</v>
      </c>
      <c r="DG81" s="908">
        <f>+DG$3-SUM(BE$4:BE81)-46082480.22</f>
        <v>0</v>
      </c>
      <c r="DH81" s="908">
        <f>+DH$3-SUM(BF$4:BF81)-57603100.28</f>
        <v>0</v>
      </c>
      <c r="DI81" s="908">
        <f>+DI$3-SUM(BG$4:BG81)-173632202.26</f>
        <v>0</v>
      </c>
      <c r="DJ81" s="908">
        <f>+DJ$3-SUM(BH$4:BH81)-16458028.65</f>
        <v>0</v>
      </c>
    </row>
    <row r="82" spans="1:114">
      <c r="A82" s="75">
        <v>41414</v>
      </c>
      <c r="B82" s="76">
        <f t="shared" si="84"/>
        <v>0</v>
      </c>
      <c r="C82" s="76">
        <f t="shared" si="84"/>
        <v>0</v>
      </c>
      <c r="D82" s="76">
        <f t="shared" si="84"/>
        <v>0</v>
      </c>
      <c r="E82" s="76">
        <f t="shared" si="84"/>
        <v>0</v>
      </c>
      <c r="F82" s="76">
        <f t="shared" si="84"/>
        <v>0</v>
      </c>
      <c r="G82" s="76"/>
      <c r="H82" s="76">
        <f t="shared" si="84"/>
        <v>498066311.06189919</v>
      </c>
      <c r="I82" s="76">
        <f t="shared" si="84"/>
        <v>0</v>
      </c>
      <c r="J82" s="76">
        <f t="shared" si="84"/>
        <v>0</v>
      </c>
      <c r="K82" s="76">
        <f t="shared" si="84"/>
        <v>0</v>
      </c>
      <c r="L82" s="76">
        <f t="shared" si="84"/>
        <v>0</v>
      </c>
      <c r="M82" s="76">
        <f t="shared" si="84"/>
        <v>0</v>
      </c>
      <c r="N82" s="76">
        <f t="shared" si="84"/>
        <v>0</v>
      </c>
      <c r="O82" s="76">
        <f t="shared" si="84"/>
        <v>0</v>
      </c>
      <c r="P82" s="76">
        <f t="shared" si="84"/>
        <v>0</v>
      </c>
      <c r="Q82" s="76">
        <f t="shared" si="84"/>
        <v>0</v>
      </c>
      <c r="S82" s="44">
        <v>41414</v>
      </c>
      <c r="T82" s="82">
        <f t="shared" si="107"/>
        <v>0</v>
      </c>
      <c r="U82" s="82">
        <f t="shared" si="62"/>
        <v>0</v>
      </c>
      <c r="V82" s="82">
        <f t="shared" si="63"/>
        <v>0</v>
      </c>
      <c r="W82" s="82">
        <f t="shared" si="64"/>
        <v>0</v>
      </c>
      <c r="X82" s="82">
        <f t="shared" si="65"/>
        <v>0</v>
      </c>
      <c r="Y82" s="82">
        <f t="shared" si="66"/>
        <v>146027638.21000001</v>
      </c>
      <c r="Z82" s="82">
        <f t="shared" si="67"/>
        <v>1933688.94</v>
      </c>
      <c r="AA82" s="82">
        <f t="shared" si="68"/>
        <v>0</v>
      </c>
      <c r="AB82" s="82">
        <f t="shared" si="69"/>
        <v>0</v>
      </c>
      <c r="AC82" s="82">
        <f t="shared" si="70"/>
        <v>0</v>
      </c>
      <c r="AD82" s="82">
        <f t="shared" si="71"/>
        <v>0</v>
      </c>
      <c r="AE82" s="82">
        <f t="shared" si="72"/>
        <v>0</v>
      </c>
      <c r="AF82" s="82">
        <f t="shared" si="73"/>
        <v>0</v>
      </c>
      <c r="AG82" s="82">
        <f t="shared" si="74"/>
        <v>0</v>
      </c>
      <c r="AH82" s="82">
        <f t="shared" si="75"/>
        <v>0</v>
      </c>
      <c r="AI82" s="82">
        <f t="shared" si="76"/>
        <v>0</v>
      </c>
      <c r="AJ82" s="40">
        <v>41414</v>
      </c>
      <c r="AK82" s="187">
        <f t="shared" si="85"/>
        <v>498066311.06189919</v>
      </c>
      <c r="AL82" s="43">
        <f t="shared" si="86"/>
        <v>498066311.06189919</v>
      </c>
      <c r="AM82" s="43">
        <f t="shared" si="87"/>
        <v>498066311.06189919</v>
      </c>
      <c r="AN82" s="43">
        <f t="shared" si="88"/>
        <v>498066311.06189919</v>
      </c>
      <c r="AO82" s="43">
        <f t="shared" si="89"/>
        <v>1992265244.2475967</v>
      </c>
      <c r="AR82" s="40">
        <v>41414</v>
      </c>
      <c r="AS82" s="63">
        <v>0</v>
      </c>
      <c r="AT82" s="63">
        <v>0</v>
      </c>
      <c r="AU82" s="63">
        <v>0</v>
      </c>
      <c r="AV82" s="63">
        <v>0</v>
      </c>
      <c r="AW82" s="63">
        <v>0</v>
      </c>
      <c r="AX82" s="63">
        <v>146027638.21000001</v>
      </c>
      <c r="AY82" s="63">
        <v>1933688.94</v>
      </c>
      <c r="AZ82" s="63">
        <v>0</v>
      </c>
      <c r="BA82" s="63">
        <v>0</v>
      </c>
      <c r="BB82" s="63">
        <v>0</v>
      </c>
      <c r="BC82" s="63">
        <v>0</v>
      </c>
      <c r="BD82" s="63">
        <v>0</v>
      </c>
      <c r="BE82" s="63">
        <v>0</v>
      </c>
      <c r="BF82" s="63">
        <v>0</v>
      </c>
      <c r="BG82" s="63">
        <v>0</v>
      </c>
      <c r="BH82" s="63">
        <v>0</v>
      </c>
      <c r="BJ82" s="40">
        <v>41414</v>
      </c>
      <c r="BK82" s="43">
        <f t="shared" si="90"/>
        <v>0</v>
      </c>
      <c r="BL82" s="43">
        <f t="shared" si="91"/>
        <v>0</v>
      </c>
      <c r="BM82" s="43">
        <f t="shared" si="92"/>
        <v>0</v>
      </c>
      <c r="BN82" s="43">
        <f t="shared" si="93"/>
        <v>0</v>
      </c>
      <c r="BO82" s="43">
        <f t="shared" si="94"/>
        <v>0</v>
      </c>
      <c r="BP82" s="43">
        <f t="shared" si="95"/>
        <v>0</v>
      </c>
      <c r="BQ82" s="43">
        <f t="shared" si="96"/>
        <v>0</v>
      </c>
      <c r="BR82" s="43">
        <f t="shared" si="97"/>
        <v>0</v>
      </c>
      <c r="BS82" s="43">
        <f t="shared" si="98"/>
        <v>0</v>
      </c>
      <c r="BT82" s="43">
        <f t="shared" si="99"/>
        <v>0</v>
      </c>
      <c r="BU82" s="43">
        <f t="shared" si="100"/>
        <v>0</v>
      </c>
      <c r="BV82" s="43">
        <f t="shared" si="101"/>
        <v>0</v>
      </c>
      <c r="BW82" s="43">
        <f t="shared" si="102"/>
        <v>0</v>
      </c>
      <c r="BX82" s="43">
        <f t="shared" si="103"/>
        <v>0</v>
      </c>
      <c r="BY82" s="43">
        <f t="shared" si="104"/>
        <v>0</v>
      </c>
      <c r="BZ82" s="43">
        <f t="shared" si="105"/>
        <v>0</v>
      </c>
      <c r="CA82" s="40">
        <v>41414</v>
      </c>
      <c r="CB82" s="43">
        <f t="shared" si="108"/>
        <v>0</v>
      </c>
      <c r="CC82" s="43">
        <f t="shared" si="108"/>
        <v>0</v>
      </c>
      <c r="CD82" s="43">
        <f t="shared" si="108"/>
        <v>0</v>
      </c>
      <c r="CE82" s="43">
        <f t="shared" si="108"/>
        <v>0</v>
      </c>
      <c r="CF82" s="43">
        <f t="shared" si="108"/>
        <v>0</v>
      </c>
      <c r="CG82" s="43">
        <f t="shared" si="108"/>
        <v>0</v>
      </c>
      <c r="CH82" s="43">
        <f t="shared" si="108"/>
        <v>0</v>
      </c>
      <c r="CI82" s="43">
        <f t="shared" si="108"/>
        <v>0</v>
      </c>
      <c r="CJ82" s="43">
        <f t="shared" si="108"/>
        <v>0</v>
      </c>
      <c r="CK82" s="43">
        <f t="shared" si="108"/>
        <v>0</v>
      </c>
      <c r="CL82" s="43">
        <f t="shared" si="108"/>
        <v>0</v>
      </c>
      <c r="CM82" s="43">
        <f t="shared" si="108"/>
        <v>0</v>
      </c>
      <c r="CN82" s="43">
        <f t="shared" si="108"/>
        <v>0</v>
      </c>
      <c r="CO82" s="43">
        <f t="shared" si="108"/>
        <v>0</v>
      </c>
      <c r="CP82" s="43">
        <f t="shared" si="108"/>
        <v>0</v>
      </c>
      <c r="CQ82" s="43">
        <f t="shared" si="61"/>
        <v>0</v>
      </c>
      <c r="CR82" s="64">
        <f t="shared" si="106"/>
        <v>0</v>
      </c>
      <c r="CT82" s="40">
        <v>41414</v>
      </c>
      <c r="CU82" s="269">
        <f>+CU$3-SUM(AS$4:AS82)</f>
        <v>0</v>
      </c>
      <c r="CV82" s="269">
        <f>+CV$3-SUM(AT$4:AT82)</f>
        <v>1.0000050067901611E-2</v>
      </c>
      <c r="CW82" s="269">
        <f>+CW$3-SUM(AU$4:AU82)</f>
        <v>0</v>
      </c>
      <c r="CX82" s="269">
        <f>+CX$3-SUM(AV$4:AV82)</f>
        <v>0</v>
      </c>
      <c r="CY82" s="908">
        <f>+CY$3-SUM(AW$4:AW82)-667256146.32</f>
        <v>0</v>
      </c>
      <c r="CZ82" s="269">
        <f>+CZ$3-SUM(AX$4:AX82)</f>
        <v>0</v>
      </c>
      <c r="DA82" s="269">
        <f>+DA$3-SUM(AY$4:AY82)</f>
        <v>498066311.06</v>
      </c>
      <c r="DB82" s="269">
        <f>+DB$3-SUM(AZ$4:AZ82)</f>
        <v>0</v>
      </c>
      <c r="DC82" s="908">
        <f>+DC$3-SUM(BA$4:BA82)-137424539.23</f>
        <v>0</v>
      </c>
      <c r="DD82" s="908">
        <f>+DD$3-SUM(BB$4:BB82)-18926732.95</f>
        <v>0</v>
      </c>
      <c r="DE82" s="269">
        <f>+DE$3-SUM(BC$4:BC82)</f>
        <v>0</v>
      </c>
      <c r="DF82" s="908">
        <f>+DF$3-SUM(BD$4:BD82)-74884030.36</f>
        <v>0</v>
      </c>
      <c r="DG82" s="908">
        <f>+DG$3-SUM(BE$4:BE82)-46082480.22</f>
        <v>0</v>
      </c>
      <c r="DH82" s="908">
        <f>+DH$3-SUM(BF$4:BF82)-57603100.28</f>
        <v>0</v>
      </c>
      <c r="DI82" s="908">
        <f>+DI$3-SUM(BG$4:BG82)-173632202.26</f>
        <v>0</v>
      </c>
      <c r="DJ82" s="908">
        <f>+DJ$3-SUM(BH$4:BH82)-16458028.65</f>
        <v>0</v>
      </c>
    </row>
    <row r="83" spans="1:114">
      <c r="A83" s="75">
        <v>41445</v>
      </c>
      <c r="B83" s="76">
        <f t="shared" si="84"/>
        <v>0</v>
      </c>
      <c r="C83" s="76">
        <f t="shared" si="84"/>
        <v>0</v>
      </c>
      <c r="D83" s="76">
        <f t="shared" si="84"/>
        <v>0</v>
      </c>
      <c r="E83" s="76">
        <f t="shared" si="84"/>
        <v>0</v>
      </c>
      <c r="F83" s="76">
        <f t="shared" si="84"/>
        <v>0</v>
      </c>
      <c r="G83" s="76">
        <f t="shared" si="84"/>
        <v>0</v>
      </c>
      <c r="H83" s="76">
        <f t="shared" si="84"/>
        <v>498066311.06189919</v>
      </c>
      <c r="I83" s="76">
        <f t="shared" si="84"/>
        <v>0</v>
      </c>
      <c r="J83" s="76">
        <f t="shared" si="84"/>
        <v>0</v>
      </c>
      <c r="K83" s="76">
        <f t="shared" si="84"/>
        <v>0</v>
      </c>
      <c r="L83" s="76">
        <f t="shared" si="84"/>
        <v>0</v>
      </c>
      <c r="M83" s="76">
        <f t="shared" si="84"/>
        <v>0</v>
      </c>
      <c r="N83" s="76">
        <f t="shared" si="84"/>
        <v>0</v>
      </c>
      <c r="O83" s="76">
        <f t="shared" si="84"/>
        <v>0</v>
      </c>
      <c r="P83" s="76">
        <f t="shared" si="84"/>
        <v>0</v>
      </c>
      <c r="Q83" s="76">
        <f t="shared" si="84"/>
        <v>0</v>
      </c>
      <c r="S83" s="40">
        <v>41445</v>
      </c>
      <c r="T83" s="82">
        <f t="shared" si="107"/>
        <v>0</v>
      </c>
      <c r="U83" s="82">
        <f t="shared" si="62"/>
        <v>0</v>
      </c>
      <c r="V83" s="82">
        <f t="shared" si="63"/>
        <v>0</v>
      </c>
      <c r="W83" s="82">
        <f t="shared" si="64"/>
        <v>0</v>
      </c>
      <c r="X83" s="82">
        <f t="shared" si="65"/>
        <v>0</v>
      </c>
      <c r="Y83" s="82">
        <f t="shared" si="66"/>
        <v>0</v>
      </c>
      <c r="Z83" s="82">
        <f t="shared" si="67"/>
        <v>0</v>
      </c>
      <c r="AA83" s="82">
        <f t="shared" si="68"/>
        <v>0</v>
      </c>
      <c r="AB83" s="82">
        <f t="shared" si="69"/>
        <v>0</v>
      </c>
      <c r="AC83" s="82">
        <f t="shared" si="70"/>
        <v>0</v>
      </c>
      <c r="AD83" s="82">
        <f t="shared" si="71"/>
        <v>0</v>
      </c>
      <c r="AE83" s="82">
        <f t="shared" si="72"/>
        <v>0</v>
      </c>
      <c r="AF83" s="82">
        <f t="shared" si="73"/>
        <v>0</v>
      </c>
      <c r="AG83" s="82">
        <f t="shared" si="74"/>
        <v>0</v>
      </c>
      <c r="AH83" s="82">
        <f t="shared" si="75"/>
        <v>0</v>
      </c>
      <c r="AI83" s="82">
        <f t="shared" si="76"/>
        <v>0</v>
      </c>
      <c r="AJ83" s="40">
        <v>41445</v>
      </c>
      <c r="AK83" s="187">
        <f t="shared" si="85"/>
        <v>498066311.06189919</v>
      </c>
      <c r="AL83" s="43">
        <f t="shared" si="86"/>
        <v>498066311.06189919</v>
      </c>
      <c r="AM83" s="43">
        <f t="shared" si="87"/>
        <v>498066311.06189919</v>
      </c>
      <c r="AN83" s="43">
        <f t="shared" si="88"/>
        <v>498066311.06189919</v>
      </c>
      <c r="AO83" s="43">
        <f t="shared" si="89"/>
        <v>1992265244.2475967</v>
      </c>
      <c r="AR83" s="40">
        <v>41445</v>
      </c>
      <c r="AS83" s="63">
        <v>0</v>
      </c>
      <c r="AT83" s="63">
        <v>0</v>
      </c>
      <c r="AU83" s="63">
        <v>0</v>
      </c>
      <c r="AV83" s="63">
        <v>0</v>
      </c>
      <c r="AW83" s="63">
        <v>0</v>
      </c>
      <c r="AX83" s="63">
        <v>0</v>
      </c>
      <c r="AY83" s="63">
        <v>0</v>
      </c>
      <c r="AZ83" s="63">
        <v>0</v>
      </c>
      <c r="BA83" s="63">
        <v>0</v>
      </c>
      <c r="BB83" s="63">
        <v>0</v>
      </c>
      <c r="BC83" s="63">
        <v>0</v>
      </c>
      <c r="BD83" s="63">
        <v>0</v>
      </c>
      <c r="BE83" s="63">
        <v>0</v>
      </c>
      <c r="BF83" s="63">
        <v>0</v>
      </c>
      <c r="BG83" s="63">
        <v>0</v>
      </c>
      <c r="BH83" s="63">
        <v>0</v>
      </c>
      <c r="BJ83" s="40">
        <v>41445</v>
      </c>
      <c r="BK83" s="43">
        <f t="shared" si="90"/>
        <v>0</v>
      </c>
      <c r="BL83" s="43">
        <f t="shared" si="91"/>
        <v>0</v>
      </c>
      <c r="BM83" s="43">
        <f t="shared" si="92"/>
        <v>0</v>
      </c>
      <c r="BN83" s="43">
        <f t="shared" si="93"/>
        <v>0</v>
      </c>
      <c r="BO83" s="43">
        <f t="shared" si="94"/>
        <v>0</v>
      </c>
      <c r="BP83" s="43">
        <f t="shared" si="95"/>
        <v>0</v>
      </c>
      <c r="BQ83" s="43">
        <f t="shared" si="96"/>
        <v>0</v>
      </c>
      <c r="BR83" s="43">
        <f t="shared" si="97"/>
        <v>0</v>
      </c>
      <c r="BS83" s="43">
        <f t="shared" si="98"/>
        <v>0</v>
      </c>
      <c r="BT83" s="43">
        <f t="shared" si="99"/>
        <v>0</v>
      </c>
      <c r="BU83" s="43">
        <f t="shared" si="100"/>
        <v>0</v>
      </c>
      <c r="BV83" s="43">
        <f t="shared" si="101"/>
        <v>0</v>
      </c>
      <c r="BW83" s="43">
        <f t="shared" si="102"/>
        <v>0</v>
      </c>
      <c r="BX83" s="43">
        <f t="shared" si="103"/>
        <v>0</v>
      </c>
      <c r="BY83" s="43">
        <f t="shared" si="104"/>
        <v>0</v>
      </c>
      <c r="BZ83" s="43">
        <f t="shared" si="105"/>
        <v>0</v>
      </c>
      <c r="CA83" s="40">
        <v>41445</v>
      </c>
      <c r="CB83" s="43">
        <f t="shared" si="108"/>
        <v>0</v>
      </c>
      <c r="CC83" s="43">
        <f t="shared" si="108"/>
        <v>0</v>
      </c>
      <c r="CD83" s="43">
        <f t="shared" si="108"/>
        <v>0</v>
      </c>
      <c r="CE83" s="43">
        <f t="shared" si="108"/>
        <v>0</v>
      </c>
      <c r="CF83" s="43">
        <f t="shared" si="108"/>
        <v>0</v>
      </c>
      <c r="CG83" s="43">
        <f t="shared" si="108"/>
        <v>0</v>
      </c>
      <c r="CH83" s="43">
        <f t="shared" si="108"/>
        <v>0</v>
      </c>
      <c r="CI83" s="43">
        <f t="shared" si="108"/>
        <v>0</v>
      </c>
      <c r="CJ83" s="43">
        <f t="shared" si="108"/>
        <v>0</v>
      </c>
      <c r="CK83" s="43">
        <f t="shared" si="108"/>
        <v>0</v>
      </c>
      <c r="CL83" s="43">
        <f t="shared" si="108"/>
        <v>0</v>
      </c>
      <c r="CM83" s="43">
        <f t="shared" si="108"/>
        <v>0</v>
      </c>
      <c r="CN83" s="43">
        <f t="shared" si="108"/>
        <v>0</v>
      </c>
      <c r="CO83" s="43">
        <f t="shared" si="108"/>
        <v>0</v>
      </c>
      <c r="CP83" s="43">
        <f t="shared" si="108"/>
        <v>0</v>
      </c>
      <c r="CQ83" s="43">
        <f t="shared" si="61"/>
        <v>0</v>
      </c>
      <c r="CR83" s="64">
        <f t="shared" si="106"/>
        <v>0</v>
      </c>
      <c r="CT83" s="40">
        <v>41445</v>
      </c>
      <c r="CU83" s="269">
        <f>+CU$3-SUM(AS$4:AS83)</f>
        <v>0</v>
      </c>
      <c r="CV83" s="269">
        <f>+CV$3-SUM(AT$4:AT83)</f>
        <v>1.0000050067901611E-2</v>
      </c>
      <c r="CW83" s="269">
        <f>+CW$3-SUM(AU$4:AU83)</f>
        <v>0</v>
      </c>
      <c r="CX83" s="269">
        <f>+CX$3-SUM(AV$4:AV83)</f>
        <v>0</v>
      </c>
      <c r="CY83" s="908">
        <f>+CY$3-SUM(AW$4:AW83)-667256146.32</f>
        <v>0</v>
      </c>
      <c r="CZ83" s="269">
        <f>+CZ$3-SUM(AX$4:AX83)</f>
        <v>0</v>
      </c>
      <c r="DA83" s="269">
        <f>+DA$3-SUM(AY$4:AY83)</f>
        <v>498066311.06</v>
      </c>
      <c r="DB83" s="269">
        <f>+DB$3-SUM(AZ$4:AZ83)</f>
        <v>0</v>
      </c>
      <c r="DC83" s="908">
        <f>+DC$3-SUM(BA$4:BA83)-137424539.23</f>
        <v>0</v>
      </c>
      <c r="DD83" s="908">
        <f>+DD$3-SUM(BB$4:BB83)-18926732.95</f>
        <v>0</v>
      </c>
      <c r="DE83" s="269">
        <f>+DE$3-SUM(BC$4:BC83)</f>
        <v>0</v>
      </c>
      <c r="DF83" s="908">
        <f>+DF$3-SUM(BD$4:BD83)-74884030.36</f>
        <v>0</v>
      </c>
      <c r="DG83" s="908">
        <f>+DG$3-SUM(BE$4:BE83)-46082480.22</f>
        <v>0</v>
      </c>
      <c r="DH83" s="908">
        <f>+DH$3-SUM(BF$4:BF83)-57603100.28</f>
        <v>0</v>
      </c>
      <c r="DI83" s="908">
        <f>+DI$3-SUM(BG$4:BG83)-173632202.26</f>
        <v>0</v>
      </c>
      <c r="DJ83" s="908">
        <f>+DJ$3-SUM(BH$4:BH83)-16458028.65</f>
        <v>0</v>
      </c>
    </row>
    <row r="84" spans="1:114">
      <c r="A84" s="75">
        <v>41475</v>
      </c>
      <c r="B84" s="76">
        <f t="shared" si="84"/>
        <v>0</v>
      </c>
      <c r="C84" s="76">
        <f t="shared" si="84"/>
        <v>0</v>
      </c>
      <c r="D84" s="76">
        <f t="shared" si="84"/>
        <v>0</v>
      </c>
      <c r="E84" s="76">
        <f t="shared" si="84"/>
        <v>0</v>
      </c>
      <c r="F84" s="76">
        <f t="shared" si="84"/>
        <v>0</v>
      </c>
      <c r="G84" s="76">
        <f t="shared" si="84"/>
        <v>0</v>
      </c>
      <c r="H84" s="76">
        <f t="shared" si="84"/>
        <v>498066311.06189919</v>
      </c>
      <c r="I84" s="76">
        <f t="shared" si="84"/>
        <v>0</v>
      </c>
      <c r="J84" s="76">
        <f t="shared" si="84"/>
        <v>0</v>
      </c>
      <c r="K84" s="76">
        <f t="shared" si="84"/>
        <v>0</v>
      </c>
      <c r="L84" s="76">
        <f t="shared" si="84"/>
        <v>0</v>
      </c>
      <c r="M84" s="76">
        <f t="shared" si="84"/>
        <v>0</v>
      </c>
      <c r="N84" s="76">
        <f t="shared" si="84"/>
        <v>0</v>
      </c>
      <c r="O84" s="76">
        <f t="shared" si="84"/>
        <v>0</v>
      </c>
      <c r="P84" s="76">
        <f t="shared" ref="C84:Q85" si="109">+P171</f>
        <v>0</v>
      </c>
      <c r="Q84" s="76">
        <f t="shared" si="109"/>
        <v>0</v>
      </c>
      <c r="S84" s="40">
        <v>41475</v>
      </c>
      <c r="T84" s="82">
        <f t="shared" si="107"/>
        <v>0</v>
      </c>
      <c r="U84" s="82">
        <f t="shared" si="62"/>
        <v>0</v>
      </c>
      <c r="V84" s="82">
        <f t="shared" si="63"/>
        <v>0</v>
      </c>
      <c r="W84" s="82">
        <f t="shared" si="64"/>
        <v>0</v>
      </c>
      <c r="X84" s="82">
        <f t="shared" si="65"/>
        <v>0</v>
      </c>
      <c r="Y84" s="82">
        <f t="shared" si="66"/>
        <v>0</v>
      </c>
      <c r="Z84" s="82">
        <f t="shared" si="67"/>
        <v>0</v>
      </c>
      <c r="AA84" s="82">
        <f t="shared" si="68"/>
        <v>0</v>
      </c>
      <c r="AB84" s="82">
        <f t="shared" si="69"/>
        <v>0</v>
      </c>
      <c r="AC84" s="82">
        <f t="shared" si="70"/>
        <v>0</v>
      </c>
      <c r="AD84" s="82">
        <f t="shared" si="71"/>
        <v>0</v>
      </c>
      <c r="AE84" s="82">
        <f t="shared" si="72"/>
        <v>0</v>
      </c>
      <c r="AF84" s="82">
        <f t="shared" si="73"/>
        <v>0</v>
      </c>
      <c r="AG84" s="82">
        <f t="shared" si="74"/>
        <v>0</v>
      </c>
      <c r="AH84" s="82">
        <f t="shared" si="75"/>
        <v>0</v>
      </c>
      <c r="AI84" s="82">
        <f t="shared" si="76"/>
        <v>0</v>
      </c>
      <c r="AJ84" s="40">
        <v>41475</v>
      </c>
      <c r="AK84" s="187">
        <f t="shared" si="85"/>
        <v>498066311.06189919</v>
      </c>
      <c r="AL84" s="43">
        <f t="shared" si="86"/>
        <v>498066311.06189919</v>
      </c>
      <c r="AM84" s="43">
        <f t="shared" si="87"/>
        <v>498066311.06189919</v>
      </c>
      <c r="AN84" s="43">
        <f t="shared" si="88"/>
        <v>498066311.06189919</v>
      </c>
      <c r="AO84" s="43">
        <f t="shared" si="89"/>
        <v>1992265244.2475967</v>
      </c>
      <c r="AR84" s="40">
        <v>41475</v>
      </c>
      <c r="AS84" s="63">
        <v>0</v>
      </c>
      <c r="AT84" s="63">
        <v>0</v>
      </c>
      <c r="AU84" s="63">
        <v>0</v>
      </c>
      <c r="AV84" s="63">
        <v>0</v>
      </c>
      <c r="AW84" s="63">
        <v>0</v>
      </c>
      <c r="AX84" s="63">
        <v>0</v>
      </c>
      <c r="AY84" s="63">
        <v>0</v>
      </c>
      <c r="AZ84" s="63">
        <v>0</v>
      </c>
      <c r="BA84" s="63">
        <v>0</v>
      </c>
      <c r="BB84" s="63">
        <v>0</v>
      </c>
      <c r="BC84" s="63">
        <v>0</v>
      </c>
      <c r="BD84" s="63">
        <v>0</v>
      </c>
      <c r="BE84" s="63">
        <v>0</v>
      </c>
      <c r="BF84" s="63">
        <v>0</v>
      </c>
      <c r="BG84" s="63">
        <v>0</v>
      </c>
      <c r="BH84" s="63">
        <v>0</v>
      </c>
      <c r="BJ84" s="40">
        <v>41475</v>
      </c>
      <c r="BK84" s="43">
        <f t="shared" si="90"/>
        <v>0</v>
      </c>
      <c r="BL84" s="43">
        <f t="shared" si="91"/>
        <v>0</v>
      </c>
      <c r="BM84" s="43">
        <f t="shared" si="92"/>
        <v>0</v>
      </c>
      <c r="BN84" s="43">
        <f t="shared" si="93"/>
        <v>0</v>
      </c>
      <c r="BO84" s="43">
        <f t="shared" si="94"/>
        <v>0</v>
      </c>
      <c r="BP84" s="43">
        <f t="shared" si="95"/>
        <v>0</v>
      </c>
      <c r="BQ84" s="43">
        <f t="shared" si="96"/>
        <v>0</v>
      </c>
      <c r="BR84" s="43">
        <f t="shared" si="97"/>
        <v>0</v>
      </c>
      <c r="BS84" s="43">
        <f t="shared" si="98"/>
        <v>0</v>
      </c>
      <c r="BT84" s="43">
        <f t="shared" si="99"/>
        <v>0</v>
      </c>
      <c r="BU84" s="43">
        <f t="shared" si="100"/>
        <v>0</v>
      </c>
      <c r="BV84" s="43">
        <f t="shared" si="101"/>
        <v>0</v>
      </c>
      <c r="BW84" s="43">
        <f t="shared" si="102"/>
        <v>0</v>
      </c>
      <c r="BX84" s="43">
        <f t="shared" si="103"/>
        <v>0</v>
      </c>
      <c r="BY84" s="43">
        <f t="shared" si="104"/>
        <v>0</v>
      </c>
      <c r="BZ84" s="43">
        <f t="shared" si="105"/>
        <v>0</v>
      </c>
      <c r="CA84" s="40">
        <v>41475</v>
      </c>
      <c r="CB84" s="43">
        <f t="shared" si="108"/>
        <v>0</v>
      </c>
      <c r="CC84" s="43">
        <f t="shared" si="108"/>
        <v>0</v>
      </c>
      <c r="CD84" s="43">
        <f t="shared" si="108"/>
        <v>0</v>
      </c>
      <c r="CE84" s="43">
        <f t="shared" si="108"/>
        <v>0</v>
      </c>
      <c r="CF84" s="43">
        <f t="shared" si="108"/>
        <v>0</v>
      </c>
      <c r="CG84" s="43">
        <f t="shared" si="108"/>
        <v>0</v>
      </c>
      <c r="CH84" s="43">
        <f t="shared" si="108"/>
        <v>0</v>
      </c>
      <c r="CI84" s="43">
        <f t="shared" si="108"/>
        <v>0</v>
      </c>
      <c r="CJ84" s="43">
        <f t="shared" si="108"/>
        <v>0</v>
      </c>
      <c r="CK84" s="43">
        <f t="shared" si="108"/>
        <v>0</v>
      </c>
      <c r="CL84" s="43">
        <f t="shared" si="108"/>
        <v>0</v>
      </c>
      <c r="CM84" s="43">
        <f t="shared" si="108"/>
        <v>0</v>
      </c>
      <c r="CN84" s="43">
        <f t="shared" si="108"/>
        <v>0</v>
      </c>
      <c r="CO84" s="43">
        <f t="shared" si="108"/>
        <v>0</v>
      </c>
      <c r="CP84" s="43">
        <f t="shared" si="108"/>
        <v>0</v>
      </c>
      <c r="CQ84" s="43">
        <f t="shared" si="108"/>
        <v>0</v>
      </c>
      <c r="CR84" s="64">
        <f t="shared" si="106"/>
        <v>0</v>
      </c>
      <c r="CT84" s="40">
        <v>41475</v>
      </c>
      <c r="CU84" s="269">
        <f>+CU$3-SUM(AS$4:AS84)</f>
        <v>0</v>
      </c>
      <c r="CV84" s="269">
        <f>+CV$3-SUM(AT$4:AT84)</f>
        <v>1.0000050067901611E-2</v>
      </c>
      <c r="CW84" s="269">
        <f>+CW$3-SUM(AU$4:AU84)</f>
        <v>0</v>
      </c>
      <c r="CX84" s="269">
        <f>+CX$3-SUM(AV$4:AV84)</f>
        <v>0</v>
      </c>
      <c r="CY84" s="908">
        <f>+CY$3-SUM(AW$4:AW84)-667256146.32</f>
        <v>0</v>
      </c>
      <c r="CZ84" s="269">
        <f>+CZ$3-SUM(AX$4:AX84)</f>
        <v>0</v>
      </c>
      <c r="DA84" s="269">
        <f>+DA$3-SUM(AY$4:AY84)</f>
        <v>498066311.06</v>
      </c>
      <c r="DB84" s="269">
        <f>+DB$3-SUM(AZ$4:AZ84)</f>
        <v>0</v>
      </c>
      <c r="DC84" s="908">
        <f>+DC$3-SUM(BA$4:BA84)-137424539.23</f>
        <v>0</v>
      </c>
      <c r="DD84" s="908">
        <f>+DD$3-SUM(BB$4:BB84)-18926732.95</f>
        <v>0</v>
      </c>
      <c r="DE84" s="269">
        <f>+DE$3-SUM(BC$4:BC84)</f>
        <v>0</v>
      </c>
      <c r="DF84" s="908">
        <f>+DF$3-SUM(BD$4:BD84)-74884030.36</f>
        <v>0</v>
      </c>
      <c r="DG84" s="908">
        <f>+DG$3-SUM(BE$4:BE84)-46082480.22</f>
        <v>0</v>
      </c>
      <c r="DH84" s="908">
        <f>+DH$3-SUM(BF$4:BF84)-57603100.28</f>
        <v>0</v>
      </c>
      <c r="DI84" s="908">
        <f>+DI$3-SUM(BG$4:BG84)-173632202.26</f>
        <v>0</v>
      </c>
      <c r="DJ84" s="908">
        <f>+DJ$3-SUM(BH$4:BH84)-16458028.65</f>
        <v>0</v>
      </c>
    </row>
    <row r="85" spans="1:114">
      <c r="A85" s="75">
        <v>41506</v>
      </c>
      <c r="B85" s="76">
        <f t="shared" si="84"/>
        <v>0</v>
      </c>
      <c r="C85" s="76">
        <f t="shared" si="109"/>
        <v>0</v>
      </c>
      <c r="D85" s="76">
        <f t="shared" si="109"/>
        <v>0</v>
      </c>
      <c r="E85" s="76">
        <f t="shared" si="109"/>
        <v>0</v>
      </c>
      <c r="F85" s="76">
        <f t="shared" si="109"/>
        <v>0</v>
      </c>
      <c r="G85" s="76">
        <f t="shared" si="109"/>
        <v>0</v>
      </c>
      <c r="H85" s="76">
        <f t="shared" si="109"/>
        <v>0</v>
      </c>
      <c r="I85" s="76">
        <f t="shared" si="109"/>
        <v>0</v>
      </c>
      <c r="J85" s="76">
        <f t="shared" si="109"/>
        <v>0</v>
      </c>
      <c r="K85" s="76">
        <f t="shared" si="109"/>
        <v>0</v>
      </c>
      <c r="L85" s="76">
        <f t="shared" si="109"/>
        <v>0</v>
      </c>
      <c r="M85" s="76">
        <f t="shared" si="109"/>
        <v>0</v>
      </c>
      <c r="N85" s="76">
        <f t="shared" si="109"/>
        <v>0</v>
      </c>
      <c r="O85" s="76">
        <f t="shared" si="109"/>
        <v>0</v>
      </c>
      <c r="P85" s="76">
        <f t="shared" si="109"/>
        <v>0</v>
      </c>
      <c r="Q85" s="76">
        <f t="shared" si="109"/>
        <v>0</v>
      </c>
      <c r="S85" s="44">
        <v>41506</v>
      </c>
      <c r="T85" s="82">
        <f t="shared" si="107"/>
        <v>0</v>
      </c>
      <c r="U85" s="82">
        <f t="shared" ref="U85:AI86" si="110">+ROUND(C84-C85,2)</f>
        <v>0</v>
      </c>
      <c r="V85" s="82">
        <f t="shared" si="110"/>
        <v>0</v>
      </c>
      <c r="W85" s="82">
        <f t="shared" si="110"/>
        <v>0</v>
      </c>
      <c r="X85" s="82">
        <f t="shared" si="110"/>
        <v>0</v>
      </c>
      <c r="Y85" s="82">
        <f t="shared" si="110"/>
        <v>0</v>
      </c>
      <c r="Z85" s="82">
        <f t="shared" si="110"/>
        <v>498066311.06</v>
      </c>
      <c r="AA85" s="82">
        <f t="shared" si="110"/>
        <v>0</v>
      </c>
      <c r="AB85" s="82">
        <f t="shared" si="110"/>
        <v>0</v>
      </c>
      <c r="AC85" s="82">
        <f t="shared" si="110"/>
        <v>0</v>
      </c>
      <c r="AD85" s="82">
        <f t="shared" si="110"/>
        <v>0</v>
      </c>
      <c r="AE85" s="82">
        <f t="shared" si="110"/>
        <v>0</v>
      </c>
      <c r="AF85" s="82">
        <f t="shared" si="110"/>
        <v>0</v>
      </c>
      <c r="AG85" s="82">
        <f t="shared" si="110"/>
        <v>0</v>
      </c>
      <c r="AH85" s="82">
        <f t="shared" si="110"/>
        <v>0</v>
      </c>
      <c r="AI85" s="82">
        <f t="shared" si="110"/>
        <v>0</v>
      </c>
      <c r="AJ85" s="40">
        <v>41506</v>
      </c>
      <c r="AK85" s="187">
        <f t="shared" si="85"/>
        <v>0</v>
      </c>
      <c r="AL85" s="43">
        <f t="shared" si="86"/>
        <v>0</v>
      </c>
      <c r="AM85" s="43">
        <f t="shared" si="87"/>
        <v>0</v>
      </c>
      <c r="AN85" s="43">
        <f t="shared" si="88"/>
        <v>0</v>
      </c>
      <c r="AO85" s="43">
        <f t="shared" si="89"/>
        <v>0</v>
      </c>
      <c r="AR85" s="40">
        <v>41506</v>
      </c>
      <c r="AS85" s="63">
        <v>0</v>
      </c>
      <c r="AT85" s="63">
        <v>0</v>
      </c>
      <c r="AU85" s="63">
        <v>0</v>
      </c>
      <c r="AV85" s="63">
        <v>0</v>
      </c>
      <c r="AW85" s="63">
        <v>0</v>
      </c>
      <c r="AX85" s="63">
        <v>0</v>
      </c>
      <c r="AY85" s="63">
        <v>0</v>
      </c>
      <c r="AZ85" s="63">
        <v>0</v>
      </c>
      <c r="BA85" s="63">
        <v>0</v>
      </c>
      <c r="BB85" s="63">
        <v>0</v>
      </c>
      <c r="BC85" s="63">
        <v>0</v>
      </c>
      <c r="BD85" s="63">
        <v>0</v>
      </c>
      <c r="BE85" s="63">
        <v>0</v>
      </c>
      <c r="BF85" s="63">
        <v>0</v>
      </c>
      <c r="BG85" s="63">
        <v>0</v>
      </c>
      <c r="BH85" s="63">
        <v>0</v>
      </c>
      <c r="BJ85" s="40">
        <v>41506</v>
      </c>
      <c r="BK85" s="43">
        <f t="shared" si="90"/>
        <v>0</v>
      </c>
      <c r="BL85" s="43">
        <f t="shared" si="91"/>
        <v>0</v>
      </c>
      <c r="BM85" s="43">
        <f t="shared" si="92"/>
        <v>0</v>
      </c>
      <c r="BN85" s="43">
        <f t="shared" si="93"/>
        <v>0</v>
      </c>
      <c r="BO85" s="43">
        <f t="shared" si="94"/>
        <v>0</v>
      </c>
      <c r="BP85" s="43">
        <f t="shared" si="95"/>
        <v>0</v>
      </c>
      <c r="BQ85" s="43">
        <f t="shared" si="96"/>
        <v>498066311.06</v>
      </c>
      <c r="BR85" s="43">
        <f t="shared" si="97"/>
        <v>0</v>
      </c>
      <c r="BS85" s="43">
        <f t="shared" si="98"/>
        <v>0</v>
      </c>
      <c r="BT85" s="43">
        <f t="shared" si="99"/>
        <v>0</v>
      </c>
      <c r="BU85" s="43">
        <f t="shared" si="100"/>
        <v>0</v>
      </c>
      <c r="BV85" s="43">
        <f t="shared" si="101"/>
        <v>0</v>
      </c>
      <c r="BW85" s="43">
        <f t="shared" si="102"/>
        <v>0</v>
      </c>
      <c r="BX85" s="43">
        <f t="shared" si="103"/>
        <v>0</v>
      </c>
      <c r="BY85" s="43">
        <f t="shared" si="104"/>
        <v>0</v>
      </c>
      <c r="BZ85" s="43">
        <f t="shared" si="105"/>
        <v>0</v>
      </c>
      <c r="CA85" s="40">
        <v>41506</v>
      </c>
      <c r="CB85" s="43">
        <f t="shared" si="108"/>
        <v>0</v>
      </c>
      <c r="CC85" s="43">
        <f t="shared" si="108"/>
        <v>0</v>
      </c>
      <c r="CD85" s="43">
        <f t="shared" si="108"/>
        <v>0</v>
      </c>
      <c r="CE85" s="43">
        <f t="shared" si="108"/>
        <v>0</v>
      </c>
      <c r="CF85" s="43">
        <f t="shared" si="108"/>
        <v>0</v>
      </c>
      <c r="CG85" s="43">
        <f t="shared" si="108"/>
        <v>0</v>
      </c>
      <c r="CH85" s="43">
        <f t="shared" si="108"/>
        <v>498066311.06</v>
      </c>
      <c r="CI85" s="43">
        <f t="shared" si="108"/>
        <v>0</v>
      </c>
      <c r="CJ85" s="43">
        <f t="shared" si="108"/>
        <v>0</v>
      </c>
      <c r="CK85" s="43">
        <f t="shared" si="108"/>
        <v>0</v>
      </c>
      <c r="CL85" s="43">
        <f t="shared" si="108"/>
        <v>0</v>
      </c>
      <c r="CM85" s="43">
        <f t="shared" si="108"/>
        <v>0</v>
      </c>
      <c r="CN85" s="43">
        <f t="shared" si="108"/>
        <v>0</v>
      </c>
      <c r="CO85" s="43">
        <f t="shared" si="108"/>
        <v>0</v>
      </c>
      <c r="CP85" s="43">
        <f t="shared" si="108"/>
        <v>0</v>
      </c>
      <c r="CQ85" s="43">
        <f t="shared" si="108"/>
        <v>0</v>
      </c>
      <c r="CR85" s="64">
        <f t="shared" si="106"/>
        <v>498066311.06</v>
      </c>
      <c r="CT85" s="40">
        <v>41506</v>
      </c>
      <c r="CU85" s="269">
        <f>+CU$3-SUM(AS$4:AS85)</f>
        <v>0</v>
      </c>
      <c r="CV85" s="269">
        <f>+CV$3-SUM(AT$4:AT85)</f>
        <v>1.0000050067901611E-2</v>
      </c>
      <c r="CW85" s="269">
        <f>+CW$3-SUM(AU$4:AU85)</f>
        <v>0</v>
      </c>
      <c r="CX85" s="269">
        <f>+CX$3-SUM(AV$4:AV85)</f>
        <v>0</v>
      </c>
      <c r="CY85" s="908">
        <f>+CY$3-SUM(AW$4:AW85)-667256146.32</f>
        <v>0</v>
      </c>
      <c r="CZ85" s="269">
        <f>+CZ$3-SUM(AX$4:AX85)</f>
        <v>0</v>
      </c>
      <c r="DA85" s="269">
        <f>+DA$3-SUM(AY$4:AY85)</f>
        <v>498066311.06</v>
      </c>
      <c r="DB85" s="269">
        <f>+DB$3-SUM(AZ$4:AZ85)</f>
        <v>0</v>
      </c>
      <c r="DC85" s="908">
        <f>+DC$3-SUM(BA$4:BA85)-137424539.23</f>
        <v>0</v>
      </c>
      <c r="DD85" s="908">
        <f>+DD$3-SUM(BB$4:BB85)-18926732.95</f>
        <v>0</v>
      </c>
      <c r="DE85" s="269">
        <f>+DE$3-SUM(BC$4:BC85)</f>
        <v>0</v>
      </c>
      <c r="DF85" s="908">
        <f>+DF$3-SUM(BD$4:BD85)-74884030.36</f>
        <v>0</v>
      </c>
      <c r="DG85" s="908">
        <f>+DG$3-SUM(BE$4:BE85)-46082480.22</f>
        <v>0</v>
      </c>
      <c r="DH85" s="908">
        <f>+DH$3-SUM(BF$4:BF85)-57603100.28</f>
        <v>0</v>
      </c>
      <c r="DI85" s="908">
        <f>+DI$3-SUM(BG$4:BG85)-173632202.26</f>
        <v>0</v>
      </c>
      <c r="DJ85" s="908">
        <f>+DJ$3-SUM(BH$4:BH85)-16458028.65</f>
        <v>0</v>
      </c>
    </row>
    <row r="86" spans="1:114">
      <c r="A86" s="75"/>
      <c r="B86" s="76"/>
      <c r="C86" s="76"/>
      <c r="D86" s="76"/>
      <c r="E86" s="76"/>
      <c r="F86" s="76"/>
      <c r="G86" s="76"/>
      <c r="H86" s="76"/>
      <c r="I86" s="76"/>
      <c r="J86" s="76"/>
      <c r="K86" s="76"/>
      <c r="L86" s="76"/>
      <c r="M86" s="76"/>
      <c r="N86" s="76"/>
      <c r="O86" s="76"/>
      <c r="P86" s="76"/>
      <c r="Q86" s="76"/>
      <c r="S86" s="40"/>
      <c r="T86" s="82">
        <f t="shared" si="107"/>
        <v>0</v>
      </c>
      <c r="U86" s="82">
        <f t="shared" si="110"/>
        <v>0</v>
      </c>
      <c r="V86" s="82">
        <f t="shared" si="110"/>
        <v>0</v>
      </c>
      <c r="W86" s="82">
        <f t="shared" si="110"/>
        <v>0</v>
      </c>
      <c r="X86" s="82">
        <f t="shared" si="110"/>
        <v>0</v>
      </c>
      <c r="Y86" s="82">
        <f t="shared" si="110"/>
        <v>0</v>
      </c>
      <c r="Z86" s="82">
        <f t="shared" si="110"/>
        <v>0</v>
      </c>
      <c r="AA86" s="82">
        <f t="shared" si="110"/>
        <v>0</v>
      </c>
      <c r="AB86" s="82">
        <f t="shared" si="110"/>
        <v>0</v>
      </c>
      <c r="AC86" s="82">
        <f t="shared" si="110"/>
        <v>0</v>
      </c>
      <c r="AD86" s="82">
        <f t="shared" si="110"/>
        <v>0</v>
      </c>
      <c r="AE86" s="82">
        <f t="shared" si="110"/>
        <v>0</v>
      </c>
      <c r="AF86" s="82">
        <f t="shared" si="110"/>
        <v>0</v>
      </c>
      <c r="AG86" s="82">
        <f t="shared" si="110"/>
        <v>0</v>
      </c>
      <c r="AH86" s="82">
        <f t="shared" si="110"/>
        <v>0</v>
      </c>
      <c r="AI86" s="82">
        <f t="shared" si="110"/>
        <v>0</v>
      </c>
      <c r="AJ86" s="40"/>
      <c r="AK86" s="43"/>
      <c r="AL86" s="43"/>
      <c r="AM86" s="43"/>
      <c r="AN86" s="43"/>
      <c r="AR86" s="40"/>
      <c r="AS86" s="42"/>
      <c r="AT86" s="42"/>
      <c r="AU86" s="42"/>
      <c r="AV86" s="42"/>
      <c r="AW86" s="42"/>
      <c r="AX86" s="42"/>
      <c r="AY86" s="42"/>
      <c r="AZ86" s="42"/>
      <c r="BA86" s="42"/>
      <c r="BB86" s="42"/>
      <c r="BC86" s="42"/>
      <c r="BD86" s="42"/>
      <c r="BE86" s="42"/>
      <c r="BF86" s="42"/>
      <c r="BG86" s="42"/>
      <c r="BH86" s="42"/>
    </row>
    <row r="87" spans="1:114">
      <c r="A87" s="75"/>
      <c r="B87" s="76"/>
      <c r="C87" s="76"/>
      <c r="D87" s="76"/>
      <c r="E87" s="76"/>
      <c r="F87" s="76"/>
      <c r="G87" s="76"/>
      <c r="H87" s="76"/>
      <c r="I87" s="76"/>
      <c r="J87" s="76"/>
      <c r="K87" s="76"/>
      <c r="L87" s="76"/>
      <c r="M87" s="76"/>
      <c r="N87" s="76"/>
      <c r="O87" s="76"/>
      <c r="P87" s="76"/>
      <c r="Q87" s="76"/>
      <c r="S87" s="40"/>
      <c r="T87" s="42"/>
      <c r="U87" s="42"/>
      <c r="V87" s="42"/>
      <c r="W87" s="42"/>
      <c r="X87" s="42"/>
      <c r="Y87" s="42"/>
      <c r="Z87" s="42"/>
      <c r="AA87" s="42"/>
      <c r="AB87" s="42"/>
      <c r="AC87" s="42"/>
      <c r="AD87" s="42"/>
      <c r="AE87" s="42"/>
      <c r="AF87" s="42"/>
      <c r="AG87" s="42"/>
      <c r="AH87" s="42"/>
      <c r="AI87" s="42"/>
      <c r="AJ87" s="40"/>
      <c r="AR87" s="40"/>
      <c r="AS87" s="42"/>
      <c r="AT87" s="42"/>
      <c r="AU87" s="42"/>
      <c r="AV87" s="42"/>
      <c r="AW87" s="42"/>
      <c r="AX87" s="42"/>
      <c r="AY87" s="42"/>
      <c r="AZ87" s="42"/>
      <c r="BA87" s="42"/>
      <c r="BB87" s="42"/>
      <c r="BC87" s="42"/>
      <c r="BD87" s="42"/>
      <c r="BE87" s="42"/>
      <c r="BF87" s="42"/>
      <c r="BG87" s="42"/>
      <c r="BH87" s="42"/>
    </row>
    <row r="88" spans="1:114">
      <c r="A88" s="75"/>
      <c r="B88" s="76"/>
      <c r="C88" s="90"/>
      <c r="D88" s="185"/>
      <c r="E88" s="185"/>
      <c r="F88" s="76"/>
      <c r="G88" s="76"/>
      <c r="H88" s="76"/>
      <c r="I88" s="76"/>
      <c r="J88" s="76"/>
      <c r="K88" s="76"/>
      <c r="L88" s="76"/>
      <c r="M88" s="76"/>
      <c r="N88" s="76"/>
      <c r="O88" s="76"/>
      <c r="P88" s="76"/>
      <c r="Q88" s="76"/>
      <c r="S88" s="40"/>
      <c r="T88" s="42"/>
      <c r="U88" s="42"/>
      <c r="V88" s="42"/>
      <c r="W88" s="42"/>
      <c r="X88" s="42"/>
      <c r="Y88" s="42"/>
      <c r="Z88" s="42"/>
      <c r="AA88" s="42"/>
      <c r="AB88" s="42"/>
      <c r="AC88" s="42"/>
      <c r="AD88" s="42"/>
      <c r="AE88" s="42"/>
      <c r="AF88" s="42"/>
      <c r="AG88" s="42"/>
      <c r="AH88" s="42"/>
      <c r="AI88" s="42"/>
      <c r="AJ88" s="40"/>
      <c r="AR88" s="40"/>
      <c r="AS88" s="42"/>
      <c r="AT88" s="42"/>
      <c r="AU88" s="42"/>
      <c r="AV88" s="42"/>
      <c r="AW88" s="42"/>
      <c r="AX88" s="42"/>
      <c r="AY88" s="42"/>
      <c r="AZ88" s="42"/>
      <c r="BA88" s="42"/>
      <c r="BB88" s="42"/>
      <c r="BC88" s="42"/>
      <c r="BD88" s="42"/>
      <c r="BE88" s="42"/>
      <c r="BF88" s="42"/>
      <c r="BG88" s="42"/>
      <c r="BH88" s="42"/>
    </row>
    <row r="89" spans="1:114">
      <c r="A89" s="75"/>
      <c r="B89" s="76"/>
      <c r="C89" s="185"/>
      <c r="D89" s="185"/>
      <c r="E89" s="185"/>
      <c r="F89" s="76"/>
      <c r="G89" s="76"/>
      <c r="H89" s="76"/>
      <c r="I89" s="76"/>
      <c r="J89" s="76"/>
      <c r="K89" s="76"/>
      <c r="L89" s="76"/>
      <c r="M89" s="76"/>
      <c r="N89" s="76"/>
      <c r="O89" s="76"/>
      <c r="P89" s="76"/>
      <c r="Q89" s="76"/>
      <c r="S89" s="40"/>
      <c r="T89" s="42"/>
      <c r="U89" s="42"/>
      <c r="V89" s="42"/>
      <c r="W89" s="42"/>
      <c r="X89" s="42"/>
      <c r="Y89" s="42"/>
      <c r="Z89" s="42"/>
      <c r="AA89" s="42"/>
      <c r="AB89" s="42"/>
      <c r="AC89" s="42"/>
      <c r="AD89" s="42"/>
      <c r="AE89" s="42"/>
      <c r="AF89" s="42"/>
      <c r="AG89" s="42"/>
      <c r="AH89" s="42"/>
      <c r="AI89" s="42"/>
      <c r="AJ89" s="40"/>
      <c r="AR89" s="40"/>
      <c r="AS89" s="42"/>
      <c r="AT89" s="42"/>
      <c r="AU89" s="42"/>
      <c r="AV89" s="42"/>
      <c r="AW89" s="42"/>
      <c r="AX89" s="42"/>
      <c r="AY89" s="42"/>
      <c r="AZ89" s="42"/>
      <c r="BA89" s="42"/>
      <c r="BB89" s="42"/>
      <c r="BC89" s="42"/>
      <c r="BD89" s="42"/>
      <c r="BE89" s="42"/>
      <c r="BF89" s="42"/>
      <c r="BG89" s="42"/>
      <c r="BH89" s="42"/>
    </row>
    <row r="90" spans="1:114">
      <c r="A90" s="75"/>
      <c r="B90" s="76"/>
      <c r="C90" s="76"/>
      <c r="D90" s="76"/>
      <c r="E90" s="76"/>
      <c r="F90" s="76"/>
      <c r="G90" s="76"/>
      <c r="H90" s="76"/>
      <c r="I90" s="76"/>
      <c r="J90" s="76"/>
      <c r="K90" s="76"/>
      <c r="L90" s="76"/>
      <c r="M90" s="76"/>
      <c r="N90" s="76"/>
      <c r="O90" s="76"/>
      <c r="P90" s="76"/>
      <c r="Q90" s="76"/>
      <c r="S90" s="40"/>
      <c r="T90" s="42"/>
      <c r="U90" s="42"/>
      <c r="V90" s="42"/>
      <c r="W90" s="42"/>
      <c r="X90" s="42"/>
      <c r="Y90" s="42"/>
      <c r="Z90" s="42"/>
      <c r="AA90" s="42"/>
      <c r="AB90" s="42"/>
      <c r="AC90" s="42"/>
      <c r="AD90" s="42"/>
      <c r="AE90" s="42"/>
      <c r="AF90" s="42"/>
      <c r="AG90" s="42"/>
      <c r="AH90" s="42"/>
      <c r="AI90" s="42"/>
      <c r="AJ90" s="40"/>
      <c r="AR90" s="40"/>
      <c r="AS90" s="42"/>
      <c r="AT90" s="42"/>
      <c r="AU90" s="42"/>
      <c r="AV90" s="42"/>
      <c r="AW90" s="42"/>
      <c r="AX90" s="42"/>
      <c r="AY90" s="42"/>
      <c r="AZ90" s="42"/>
      <c r="BA90" s="42"/>
      <c r="BB90" s="42"/>
      <c r="BC90" s="42"/>
      <c r="BD90" s="42"/>
      <c r="BE90" s="42"/>
      <c r="BF90" s="42"/>
      <c r="BG90" s="42"/>
      <c r="BH90" s="42"/>
    </row>
    <row r="91" spans="1:114">
      <c r="A91" s="75">
        <v>39041</v>
      </c>
      <c r="B91" s="120">
        <v>1900000000</v>
      </c>
      <c r="C91" s="76">
        <v>455000000</v>
      </c>
      <c r="D91" s="76">
        <v>610000000</v>
      </c>
      <c r="E91" s="76">
        <v>2596000000</v>
      </c>
      <c r="F91" s="76">
        <v>1698999999.9999998</v>
      </c>
      <c r="G91" s="76">
        <v>1038500000</v>
      </c>
      <c r="H91" s="76">
        <v>500000000</v>
      </c>
      <c r="I91" s="76">
        <v>84500000</v>
      </c>
      <c r="J91" s="76">
        <v>167000000</v>
      </c>
      <c r="K91" s="76">
        <v>23000000</v>
      </c>
      <c r="L91" s="76">
        <v>74500000</v>
      </c>
      <c r="M91" s="76">
        <v>91000000</v>
      </c>
      <c r="N91" s="76">
        <v>56000000</v>
      </c>
      <c r="O91" s="76">
        <v>70000000</v>
      </c>
      <c r="P91" s="76">
        <v>211000000.00000003</v>
      </c>
      <c r="Q91" s="76">
        <v>20000000</v>
      </c>
      <c r="S91" s="40"/>
      <c r="T91" s="42"/>
      <c r="U91" s="42"/>
      <c r="V91" s="42"/>
      <c r="W91" s="42"/>
      <c r="X91" s="42"/>
      <c r="Y91" s="42"/>
      <c r="Z91" s="42"/>
      <c r="AA91" s="42"/>
      <c r="AB91" s="42"/>
      <c r="AC91" s="42"/>
      <c r="AD91" s="42"/>
      <c r="AE91" s="42"/>
      <c r="AF91" s="42"/>
      <c r="AG91" s="42"/>
      <c r="AH91" s="42"/>
      <c r="AI91" s="42"/>
      <c r="AJ91" s="40"/>
      <c r="AR91" s="40"/>
      <c r="AS91" s="42"/>
      <c r="AT91" s="42"/>
      <c r="AU91" s="42"/>
      <c r="AV91" s="42"/>
      <c r="AW91" s="42"/>
      <c r="AX91" s="42"/>
      <c r="AY91" s="42"/>
      <c r="AZ91" s="42"/>
      <c r="BA91" s="42"/>
      <c r="BB91" s="42"/>
      <c r="BC91" s="42"/>
      <c r="BD91" s="42"/>
      <c r="BE91" s="42"/>
      <c r="BF91" s="42"/>
      <c r="BG91" s="42"/>
      <c r="BH91" s="42"/>
    </row>
    <row r="92" spans="1:114">
      <c r="A92" s="75">
        <v>39071</v>
      </c>
      <c r="B92" s="120">
        <v>1900000000</v>
      </c>
      <c r="C92" s="76">
        <v>455000000</v>
      </c>
      <c r="D92" s="76">
        <v>610000000</v>
      </c>
      <c r="E92" s="76">
        <v>2596000000</v>
      </c>
      <c r="F92" s="76">
        <v>1698999999.9999998</v>
      </c>
      <c r="G92" s="76">
        <v>1038500000</v>
      </c>
      <c r="H92" s="76">
        <v>500000000</v>
      </c>
      <c r="I92" s="76">
        <v>84500000</v>
      </c>
      <c r="J92" s="76">
        <v>167000000</v>
      </c>
      <c r="K92" s="76">
        <v>23000000</v>
      </c>
      <c r="L92" s="76">
        <v>74500000</v>
      </c>
      <c r="M92" s="76">
        <v>91000000</v>
      </c>
      <c r="N92" s="76">
        <v>56000000</v>
      </c>
      <c r="O92" s="76">
        <v>70000000</v>
      </c>
      <c r="P92" s="76">
        <v>211000000.00000003</v>
      </c>
      <c r="Q92" s="76">
        <v>20000000</v>
      </c>
      <c r="S92" s="40"/>
      <c r="T92" s="42"/>
      <c r="U92" s="42"/>
      <c r="V92" s="42"/>
      <c r="W92" s="42"/>
      <c r="X92" s="42"/>
      <c r="Y92" s="42"/>
      <c r="Z92" s="42"/>
      <c r="AA92" s="42"/>
      <c r="AB92" s="42"/>
      <c r="AC92" s="42"/>
      <c r="AD92" s="42"/>
      <c r="AE92" s="42"/>
      <c r="AF92" s="42"/>
      <c r="AG92" s="42"/>
      <c r="AH92" s="42"/>
      <c r="AI92" s="42"/>
      <c r="AJ92" s="40"/>
      <c r="AR92" s="40"/>
      <c r="AS92" s="42"/>
      <c r="AT92" s="42"/>
      <c r="AU92" s="42"/>
      <c r="AV92" s="42"/>
      <c r="AW92" s="42"/>
      <c r="AX92" s="42"/>
      <c r="AY92" s="42"/>
      <c r="AZ92" s="42"/>
      <c r="BA92" s="42"/>
      <c r="BB92" s="42"/>
      <c r="BC92" s="42"/>
      <c r="BD92" s="42"/>
      <c r="BE92" s="42"/>
      <c r="BF92" s="42"/>
      <c r="BG92" s="42"/>
      <c r="BH92" s="42"/>
    </row>
    <row r="93" spans="1:114">
      <c r="A93" s="75">
        <v>39102</v>
      </c>
      <c r="B93" s="120">
        <v>1900000000</v>
      </c>
      <c r="C93" s="76">
        <v>455000000</v>
      </c>
      <c r="D93" s="76">
        <v>610000000</v>
      </c>
      <c r="E93" s="76">
        <v>2596000000</v>
      </c>
      <c r="F93" s="76">
        <v>1698999999.9999998</v>
      </c>
      <c r="G93" s="76">
        <v>1038500000</v>
      </c>
      <c r="H93" s="76">
        <v>500000000</v>
      </c>
      <c r="I93" s="76">
        <v>84500000</v>
      </c>
      <c r="J93" s="76">
        <v>167000000</v>
      </c>
      <c r="K93" s="76">
        <v>23000000</v>
      </c>
      <c r="L93" s="76">
        <v>74500000</v>
      </c>
      <c r="M93" s="76">
        <v>91000000</v>
      </c>
      <c r="N93" s="76">
        <v>56000000</v>
      </c>
      <c r="O93" s="76">
        <v>70000000</v>
      </c>
      <c r="P93" s="76">
        <v>211000000.00000003</v>
      </c>
      <c r="Q93" s="76">
        <v>20000000</v>
      </c>
      <c r="S93" s="40"/>
      <c r="T93" s="42"/>
      <c r="U93" s="42"/>
      <c r="V93" s="42"/>
      <c r="W93" s="42"/>
      <c r="X93" s="42"/>
      <c r="Y93" s="42"/>
      <c r="Z93" s="42"/>
      <c r="AA93" s="42"/>
      <c r="AB93" s="42"/>
      <c r="AC93" s="42"/>
      <c r="AD93" s="42"/>
      <c r="AE93" s="42"/>
      <c r="AF93" s="42"/>
      <c r="AG93" s="42"/>
      <c r="AH93" s="42"/>
      <c r="AI93" s="42"/>
      <c r="AJ93" s="40"/>
      <c r="AR93" s="40"/>
      <c r="AS93" s="42"/>
      <c r="AT93" s="42"/>
      <c r="AU93" s="42"/>
      <c r="AV93" s="42"/>
      <c r="AW93" s="42"/>
      <c r="AX93" s="42"/>
      <c r="AY93" s="42"/>
      <c r="AZ93" s="42"/>
      <c r="BA93" s="42"/>
      <c r="BB93" s="42"/>
      <c r="BC93" s="42"/>
      <c r="BD93" s="42"/>
      <c r="BE93" s="42"/>
      <c r="BF93" s="42"/>
      <c r="BG93" s="42"/>
      <c r="BH93" s="42"/>
    </row>
    <row r="94" spans="1:114">
      <c r="A94" s="75">
        <v>39133</v>
      </c>
      <c r="B94" s="120">
        <v>1472851675.62445</v>
      </c>
      <c r="C94" s="76">
        <v>352709217.05743408</v>
      </c>
      <c r="D94" s="76">
        <v>472862906.38469189</v>
      </c>
      <c r="E94" s="76">
        <v>2596000000</v>
      </c>
      <c r="F94" s="76">
        <v>1698999999.9999998</v>
      </c>
      <c r="G94" s="76">
        <v>1038500000</v>
      </c>
      <c r="H94" s="76">
        <v>500000000</v>
      </c>
      <c r="I94" s="76">
        <v>84500000</v>
      </c>
      <c r="J94" s="76">
        <v>167000000</v>
      </c>
      <c r="K94" s="76">
        <v>23000000</v>
      </c>
      <c r="L94" s="76">
        <v>74500000</v>
      </c>
      <c r="M94" s="76">
        <v>91000000</v>
      </c>
      <c r="N94" s="76">
        <v>56000000</v>
      </c>
      <c r="O94" s="76">
        <v>70000000</v>
      </c>
      <c r="P94" s="76">
        <v>211000000.00000003</v>
      </c>
      <c r="Q94" s="76">
        <v>20000000</v>
      </c>
      <c r="S94" s="40"/>
      <c r="T94" s="42"/>
      <c r="U94" s="42"/>
      <c r="V94" s="42"/>
      <c r="W94" s="42"/>
      <c r="X94" s="42"/>
      <c r="Y94" s="42"/>
      <c r="Z94" s="42"/>
      <c r="AA94" s="42"/>
      <c r="AB94" s="42"/>
      <c r="AC94" s="42"/>
      <c r="AD94" s="42"/>
      <c r="AE94" s="42"/>
      <c r="AF94" s="42"/>
      <c r="AG94" s="42"/>
      <c r="AH94" s="42"/>
      <c r="AI94" s="42"/>
      <c r="AJ94" s="40"/>
      <c r="AR94" s="40"/>
      <c r="AS94" s="42"/>
      <c r="AT94" s="42"/>
      <c r="AU94" s="42"/>
      <c r="AV94" s="42"/>
      <c r="AW94" s="42"/>
      <c r="AX94" s="42"/>
      <c r="AY94" s="42"/>
      <c r="AZ94" s="42"/>
      <c r="BA94" s="42"/>
      <c r="BB94" s="42"/>
      <c r="BC94" s="42"/>
      <c r="BD94" s="42"/>
      <c r="BE94" s="42"/>
      <c r="BF94" s="42"/>
      <c r="BG94" s="42"/>
      <c r="BH94" s="42"/>
    </row>
    <row r="95" spans="1:114">
      <c r="A95" s="75">
        <v>39161</v>
      </c>
      <c r="B95" s="120">
        <v>1472851675.62445</v>
      </c>
      <c r="C95" s="76">
        <v>352709217.05743408</v>
      </c>
      <c r="D95" s="76">
        <v>472862906.38469189</v>
      </c>
      <c r="E95" s="76">
        <v>2596000000</v>
      </c>
      <c r="F95" s="76">
        <v>1698999999.9999998</v>
      </c>
      <c r="G95" s="76">
        <v>1038500000</v>
      </c>
      <c r="H95" s="76">
        <v>500000000</v>
      </c>
      <c r="I95" s="76">
        <v>84500000</v>
      </c>
      <c r="J95" s="76">
        <v>167000000</v>
      </c>
      <c r="K95" s="76">
        <v>23000000</v>
      </c>
      <c r="L95" s="76">
        <v>74500000</v>
      </c>
      <c r="M95" s="76">
        <v>91000000</v>
      </c>
      <c r="N95" s="76">
        <v>56000000</v>
      </c>
      <c r="O95" s="76">
        <v>70000000</v>
      </c>
      <c r="P95" s="76">
        <v>211000000.00000003</v>
      </c>
      <c r="Q95" s="76">
        <v>20000000</v>
      </c>
      <c r="S95" s="40"/>
      <c r="T95" s="42"/>
      <c r="U95" s="42"/>
      <c r="V95" s="42"/>
      <c r="W95" s="42"/>
      <c r="X95" s="42"/>
      <c r="Y95" s="42"/>
      <c r="Z95" s="42"/>
      <c r="AA95" s="42"/>
      <c r="AB95" s="42"/>
      <c r="AC95" s="42"/>
      <c r="AD95" s="42"/>
      <c r="AE95" s="42"/>
      <c r="AF95" s="42"/>
      <c r="AG95" s="42"/>
      <c r="AH95" s="42"/>
      <c r="AI95" s="42"/>
      <c r="AJ95" s="40"/>
      <c r="AR95" s="40"/>
      <c r="AS95" s="42"/>
      <c r="AT95" s="42"/>
      <c r="AU95" s="42"/>
      <c r="AV95" s="42"/>
      <c r="AW95" s="42"/>
      <c r="AX95" s="42"/>
      <c r="AY95" s="42"/>
      <c r="AZ95" s="42"/>
      <c r="BA95" s="42"/>
      <c r="BB95" s="42"/>
      <c r="BC95" s="42"/>
      <c r="BD95" s="42"/>
      <c r="BE95" s="42"/>
      <c r="BF95" s="42"/>
      <c r="BG95" s="42"/>
      <c r="BH95" s="42"/>
    </row>
    <row r="96" spans="1:114">
      <c r="A96" s="75">
        <v>39192</v>
      </c>
      <c r="B96" s="120">
        <v>1472851675.62445</v>
      </c>
      <c r="C96" s="76">
        <v>352709217.05743408</v>
      </c>
      <c r="D96" s="76">
        <v>472862906.38469189</v>
      </c>
      <c r="E96" s="76">
        <v>2596000000</v>
      </c>
      <c r="F96" s="76">
        <v>1698999999.9999998</v>
      </c>
      <c r="G96" s="76">
        <v>1038500000</v>
      </c>
      <c r="H96" s="76">
        <v>500000000</v>
      </c>
      <c r="I96" s="76">
        <v>84500000</v>
      </c>
      <c r="J96" s="76">
        <v>167000000</v>
      </c>
      <c r="K96" s="76">
        <v>23000000</v>
      </c>
      <c r="L96" s="76">
        <v>74500000</v>
      </c>
      <c r="M96" s="76">
        <v>91000000</v>
      </c>
      <c r="N96" s="76">
        <v>56000000</v>
      </c>
      <c r="O96" s="76">
        <v>70000000</v>
      </c>
      <c r="P96" s="76">
        <v>211000000.00000003</v>
      </c>
      <c r="Q96" s="76">
        <v>20000000</v>
      </c>
      <c r="S96" s="40"/>
      <c r="T96" s="42"/>
      <c r="U96" s="42"/>
      <c r="V96" s="42"/>
      <c r="W96" s="42"/>
      <c r="X96" s="42"/>
      <c r="Y96" s="42"/>
      <c r="Z96" s="42"/>
      <c r="AA96" s="42"/>
      <c r="AB96" s="42"/>
      <c r="AC96" s="42"/>
      <c r="AD96" s="42"/>
      <c r="AE96" s="42"/>
      <c r="AF96" s="42"/>
      <c r="AG96" s="42"/>
      <c r="AH96" s="42"/>
      <c r="AI96" s="42"/>
      <c r="AJ96" s="40"/>
      <c r="AR96" s="40"/>
      <c r="AS96" s="42"/>
      <c r="AT96" s="42"/>
      <c r="AU96" s="42"/>
      <c r="AV96" s="42"/>
      <c r="AW96" s="42"/>
      <c r="AX96" s="42"/>
      <c r="AY96" s="42"/>
      <c r="AZ96" s="42"/>
      <c r="BA96" s="42"/>
      <c r="BB96" s="42"/>
      <c r="BC96" s="42"/>
      <c r="BD96" s="42"/>
      <c r="BE96" s="42"/>
      <c r="BF96" s="42"/>
      <c r="BG96" s="42"/>
      <c r="BH96" s="42"/>
    </row>
    <row r="97" spans="1:60">
      <c r="A97" s="75">
        <v>39222</v>
      </c>
      <c r="B97" s="120">
        <v>1172706924.5607867</v>
      </c>
      <c r="C97" s="76">
        <v>280832447.72376734</v>
      </c>
      <c r="D97" s="76">
        <v>376500644.20109475</v>
      </c>
      <c r="E97" s="76">
        <v>2596000000</v>
      </c>
      <c r="F97" s="76">
        <v>1698999999.9999998</v>
      </c>
      <c r="G97" s="76">
        <v>1038500000</v>
      </c>
      <c r="H97" s="76">
        <v>500000000</v>
      </c>
      <c r="I97" s="76">
        <v>84500000</v>
      </c>
      <c r="J97" s="76">
        <v>167000000</v>
      </c>
      <c r="K97" s="76">
        <v>23000000</v>
      </c>
      <c r="L97" s="76">
        <v>74500000</v>
      </c>
      <c r="M97" s="76">
        <v>91000000</v>
      </c>
      <c r="N97" s="76">
        <v>56000000</v>
      </c>
      <c r="O97" s="76">
        <v>70000000</v>
      </c>
      <c r="P97" s="76">
        <v>211000000.00000003</v>
      </c>
      <c r="Q97" s="76">
        <v>20000000</v>
      </c>
      <c r="S97" s="40"/>
      <c r="T97" s="42"/>
      <c r="U97" s="42"/>
      <c r="V97" s="42"/>
      <c r="W97" s="42"/>
      <c r="X97" s="42"/>
      <c r="Y97" s="42"/>
      <c r="Z97" s="42"/>
      <c r="AA97" s="42"/>
      <c r="AB97" s="42"/>
      <c r="AC97" s="42"/>
      <c r="AD97" s="42"/>
      <c r="AE97" s="42"/>
      <c r="AF97" s="42"/>
      <c r="AG97" s="42"/>
      <c r="AH97" s="42"/>
      <c r="AI97" s="42"/>
      <c r="AJ97" s="40"/>
      <c r="AR97" s="40"/>
      <c r="AS97" s="42"/>
      <c r="AT97" s="42"/>
      <c r="AU97" s="42"/>
      <c r="AV97" s="42"/>
      <c r="AW97" s="42"/>
      <c r="AX97" s="42"/>
      <c r="AY97" s="42"/>
      <c r="AZ97" s="42"/>
      <c r="BA97" s="42"/>
      <c r="BB97" s="42"/>
      <c r="BC97" s="42"/>
      <c r="BD97" s="42"/>
      <c r="BE97" s="42"/>
      <c r="BF97" s="42"/>
      <c r="BG97" s="42"/>
      <c r="BH97" s="42"/>
    </row>
    <row r="98" spans="1:60">
      <c r="A98" s="75">
        <v>39253</v>
      </c>
      <c r="B98" s="120">
        <v>1172706924.5607867</v>
      </c>
      <c r="C98" s="76">
        <v>280832447.72376734</v>
      </c>
      <c r="D98" s="76">
        <v>376500644.20109475</v>
      </c>
      <c r="E98" s="76">
        <v>2596000000</v>
      </c>
      <c r="F98" s="76">
        <v>1698999999.9999998</v>
      </c>
      <c r="G98" s="76">
        <v>1038500000</v>
      </c>
      <c r="H98" s="76">
        <v>500000000</v>
      </c>
      <c r="I98" s="76">
        <v>84500000</v>
      </c>
      <c r="J98" s="76">
        <v>167000000</v>
      </c>
      <c r="K98" s="76">
        <v>23000000</v>
      </c>
      <c r="L98" s="76">
        <v>74500000</v>
      </c>
      <c r="M98" s="76">
        <v>91000000</v>
      </c>
      <c r="N98" s="76">
        <v>56000000</v>
      </c>
      <c r="O98" s="76">
        <v>70000000</v>
      </c>
      <c r="P98" s="76">
        <v>211000000.00000003</v>
      </c>
      <c r="Q98" s="76">
        <v>20000000</v>
      </c>
      <c r="S98" s="40"/>
      <c r="T98" s="42"/>
      <c r="U98" s="42"/>
      <c r="V98" s="42"/>
      <c r="W98" s="42"/>
      <c r="X98" s="42"/>
      <c r="Y98" s="42"/>
      <c r="Z98" s="42"/>
      <c r="AA98" s="42"/>
      <c r="AB98" s="42"/>
      <c r="AC98" s="42"/>
      <c r="AD98" s="42"/>
      <c r="AE98" s="42"/>
      <c r="AF98" s="42"/>
      <c r="AG98" s="42"/>
      <c r="AH98" s="42"/>
      <c r="AI98" s="42"/>
      <c r="AJ98" s="40"/>
      <c r="AR98" s="40"/>
      <c r="AS98" s="42"/>
      <c r="AT98" s="42"/>
      <c r="AU98" s="42"/>
      <c r="AV98" s="42"/>
      <c r="AW98" s="42"/>
      <c r="AX98" s="42"/>
      <c r="AY98" s="42"/>
      <c r="AZ98" s="42"/>
      <c r="BA98" s="42"/>
      <c r="BB98" s="42"/>
      <c r="BC98" s="42"/>
      <c r="BD98" s="42"/>
      <c r="BE98" s="42"/>
      <c r="BF98" s="42"/>
      <c r="BG98" s="42"/>
      <c r="BH98" s="42"/>
    </row>
    <row r="99" spans="1:60">
      <c r="A99" s="75">
        <v>39283</v>
      </c>
      <c r="B99" s="120">
        <v>1172706924.5607867</v>
      </c>
      <c r="C99" s="76">
        <v>280832447.72376734</v>
      </c>
      <c r="D99" s="76">
        <v>376500644.20109475</v>
      </c>
      <c r="E99" s="76">
        <v>2596000000</v>
      </c>
      <c r="F99" s="76">
        <v>1698999999.9999998</v>
      </c>
      <c r="G99" s="76">
        <v>1038500000</v>
      </c>
      <c r="H99" s="76">
        <v>500000000</v>
      </c>
      <c r="I99" s="76">
        <v>84500000</v>
      </c>
      <c r="J99" s="76">
        <v>167000000</v>
      </c>
      <c r="K99" s="76">
        <v>23000000</v>
      </c>
      <c r="L99" s="76">
        <v>74500000</v>
      </c>
      <c r="M99" s="76">
        <v>91000000</v>
      </c>
      <c r="N99" s="76">
        <v>56000000</v>
      </c>
      <c r="O99" s="76">
        <v>70000000</v>
      </c>
      <c r="P99" s="76">
        <v>211000000.00000003</v>
      </c>
      <c r="Q99" s="76">
        <v>20000000</v>
      </c>
      <c r="S99" s="40"/>
      <c r="T99" s="42"/>
      <c r="U99" s="42"/>
      <c r="V99" s="42"/>
      <c r="W99" s="42"/>
      <c r="X99" s="42"/>
      <c r="Y99" s="42"/>
      <c r="Z99" s="42"/>
      <c r="AA99" s="42"/>
      <c r="AB99" s="42"/>
      <c r="AC99" s="42"/>
      <c r="AD99" s="42"/>
      <c r="AE99" s="42"/>
      <c r="AF99" s="42"/>
      <c r="AG99" s="42"/>
      <c r="AH99" s="42"/>
      <c r="AI99" s="42"/>
      <c r="AJ99" s="40"/>
      <c r="AR99" s="40"/>
      <c r="AS99" s="42"/>
      <c r="AT99" s="42"/>
      <c r="AU99" s="42"/>
      <c r="AV99" s="42"/>
      <c r="AW99" s="42"/>
      <c r="AX99" s="42"/>
      <c r="AY99" s="42"/>
      <c r="AZ99" s="42"/>
      <c r="BA99" s="42"/>
      <c r="BB99" s="42"/>
      <c r="BC99" s="42"/>
      <c r="BD99" s="42"/>
      <c r="BE99" s="42"/>
      <c r="BF99" s="42"/>
      <c r="BG99" s="42"/>
      <c r="BH99" s="42"/>
    </row>
    <row r="100" spans="1:60">
      <c r="A100" s="75">
        <v>39314</v>
      </c>
      <c r="B100" s="120">
        <v>888847544.75598001</v>
      </c>
      <c r="C100" s="76">
        <v>212855596.24419522</v>
      </c>
      <c r="D100" s="76">
        <v>285366843.31639361</v>
      </c>
      <c r="E100" s="76">
        <v>2596000000</v>
      </c>
      <c r="F100" s="76">
        <v>1698999999.9999998</v>
      </c>
      <c r="G100" s="76">
        <v>1038500000</v>
      </c>
      <c r="H100" s="76">
        <v>500000000</v>
      </c>
      <c r="I100" s="76">
        <v>84500000</v>
      </c>
      <c r="J100" s="76">
        <v>167000000</v>
      </c>
      <c r="K100" s="76">
        <v>23000000</v>
      </c>
      <c r="L100" s="76">
        <v>74500000</v>
      </c>
      <c r="M100" s="76">
        <v>91000000</v>
      </c>
      <c r="N100" s="76">
        <v>56000000</v>
      </c>
      <c r="O100" s="76">
        <v>70000000</v>
      </c>
      <c r="P100" s="76">
        <v>211000000.00000003</v>
      </c>
      <c r="Q100" s="76">
        <v>20000000</v>
      </c>
      <c r="S100" s="40"/>
      <c r="T100" s="42"/>
      <c r="U100" s="42"/>
      <c r="V100" s="42"/>
      <c r="W100" s="42"/>
      <c r="X100" s="42"/>
      <c r="Y100" s="42"/>
      <c r="Z100" s="42"/>
      <c r="AA100" s="42"/>
      <c r="AB100" s="42"/>
      <c r="AC100" s="42"/>
      <c r="AD100" s="42"/>
      <c r="AE100" s="42"/>
      <c r="AF100" s="42"/>
      <c r="AG100" s="42"/>
      <c r="AH100" s="42"/>
      <c r="AI100" s="42"/>
      <c r="AJ100" s="40"/>
      <c r="AR100" s="40"/>
      <c r="AS100" s="42"/>
      <c r="AT100" s="42"/>
      <c r="AU100" s="42"/>
      <c r="AV100" s="42"/>
      <c r="AW100" s="42"/>
      <c r="AX100" s="42"/>
      <c r="AY100" s="42"/>
      <c r="AZ100" s="42"/>
      <c r="BA100" s="42"/>
      <c r="BB100" s="42"/>
      <c r="BC100" s="42"/>
      <c r="BD100" s="42"/>
      <c r="BE100" s="42"/>
      <c r="BF100" s="42"/>
      <c r="BG100" s="42"/>
      <c r="BH100" s="42"/>
    </row>
    <row r="101" spans="1:60">
      <c r="A101" s="75">
        <v>39345</v>
      </c>
      <c r="B101" s="120">
        <v>888847544.75598001</v>
      </c>
      <c r="C101" s="76">
        <v>212855596.24419522</v>
      </c>
      <c r="D101" s="76">
        <v>285366843.31639361</v>
      </c>
      <c r="E101" s="76">
        <v>2596000000</v>
      </c>
      <c r="F101" s="76">
        <v>1698999999.9999998</v>
      </c>
      <c r="G101" s="76">
        <v>1038500000</v>
      </c>
      <c r="H101" s="76">
        <v>500000000</v>
      </c>
      <c r="I101" s="76">
        <v>84500000</v>
      </c>
      <c r="J101" s="76">
        <v>167000000</v>
      </c>
      <c r="K101" s="76">
        <v>23000000</v>
      </c>
      <c r="L101" s="76">
        <v>74500000</v>
      </c>
      <c r="M101" s="76">
        <v>91000000</v>
      </c>
      <c r="N101" s="76">
        <v>56000000</v>
      </c>
      <c r="O101" s="76">
        <v>70000000</v>
      </c>
      <c r="P101" s="76">
        <v>211000000.00000003</v>
      </c>
      <c r="Q101" s="76">
        <v>20000000</v>
      </c>
      <c r="S101" s="40"/>
      <c r="T101" s="42"/>
      <c r="U101" s="42"/>
      <c r="V101" s="42"/>
      <c r="W101" s="42"/>
      <c r="X101" s="42"/>
      <c r="Y101" s="42"/>
      <c r="Z101" s="42"/>
      <c r="AA101" s="42"/>
      <c r="AB101" s="42"/>
      <c r="AC101" s="42"/>
      <c r="AD101" s="42"/>
      <c r="AE101" s="42"/>
      <c r="AF101" s="42"/>
      <c r="AG101" s="42"/>
      <c r="AH101" s="42"/>
      <c r="AI101" s="42"/>
      <c r="AJ101" s="40"/>
      <c r="AR101" s="40"/>
      <c r="AS101" s="42"/>
      <c r="AT101" s="42"/>
      <c r="AU101" s="42"/>
      <c r="AV101" s="42"/>
      <c r="AW101" s="42"/>
      <c r="AX101" s="42"/>
      <c r="AY101" s="42"/>
      <c r="AZ101" s="42"/>
      <c r="BA101" s="42"/>
      <c r="BB101" s="42"/>
      <c r="BC101" s="42"/>
      <c r="BD101" s="42"/>
      <c r="BE101" s="42"/>
      <c r="BF101" s="42"/>
      <c r="BG101" s="42"/>
      <c r="BH101" s="42"/>
    </row>
    <row r="102" spans="1:60">
      <c r="A102" s="75">
        <v>39375</v>
      </c>
      <c r="B102" s="120">
        <v>888847544.75598001</v>
      </c>
      <c r="C102" s="76">
        <v>212855596.24419522</v>
      </c>
      <c r="D102" s="76">
        <v>285366843.31639361</v>
      </c>
      <c r="E102" s="76">
        <v>2596000000</v>
      </c>
      <c r="F102" s="76">
        <v>1698999999.9999998</v>
      </c>
      <c r="G102" s="76">
        <v>1038500000</v>
      </c>
      <c r="H102" s="76">
        <v>500000000</v>
      </c>
      <c r="I102" s="76">
        <v>84500000</v>
      </c>
      <c r="J102" s="76">
        <v>167000000</v>
      </c>
      <c r="K102" s="76">
        <v>23000000</v>
      </c>
      <c r="L102" s="76">
        <v>74500000</v>
      </c>
      <c r="M102" s="76">
        <v>91000000</v>
      </c>
      <c r="N102" s="76">
        <v>56000000</v>
      </c>
      <c r="O102" s="76">
        <v>70000000</v>
      </c>
      <c r="P102" s="76">
        <v>211000000.00000003</v>
      </c>
      <c r="Q102" s="76">
        <v>20000000</v>
      </c>
      <c r="S102" s="40"/>
      <c r="T102" s="42"/>
      <c r="U102" s="42"/>
      <c r="V102" s="42"/>
      <c r="W102" s="42"/>
      <c r="X102" s="42"/>
      <c r="Y102" s="42"/>
      <c r="Z102" s="42"/>
      <c r="AA102" s="42"/>
      <c r="AB102" s="42"/>
      <c r="AC102" s="42"/>
      <c r="AD102" s="42"/>
      <c r="AE102" s="42"/>
      <c r="AF102" s="42"/>
      <c r="AG102" s="42"/>
      <c r="AH102" s="42"/>
      <c r="AI102" s="42"/>
      <c r="AJ102" s="40"/>
      <c r="AR102" s="40"/>
      <c r="AS102" s="42"/>
      <c r="AT102" s="42"/>
      <c r="AU102" s="42"/>
      <c r="AV102" s="42"/>
      <c r="AW102" s="42"/>
      <c r="AX102" s="42"/>
      <c r="AY102" s="42"/>
      <c r="AZ102" s="42"/>
      <c r="BA102" s="42"/>
      <c r="BB102" s="42"/>
      <c r="BC102" s="42"/>
      <c r="BD102" s="42"/>
      <c r="BE102" s="42"/>
      <c r="BF102" s="42"/>
      <c r="BG102" s="42"/>
      <c r="BH102" s="42"/>
    </row>
    <row r="103" spans="1:60">
      <c r="A103" s="75">
        <v>39406</v>
      </c>
      <c r="B103" s="120">
        <v>620389918.1687386</v>
      </c>
      <c r="C103" s="76">
        <v>148567059.35093474</v>
      </c>
      <c r="D103" s="76">
        <v>199177815.83312136</v>
      </c>
      <c r="E103" s="76">
        <v>2596000000</v>
      </c>
      <c r="F103" s="76">
        <v>1698999999.9999998</v>
      </c>
      <c r="G103" s="76">
        <v>1038500000</v>
      </c>
      <c r="H103" s="76">
        <v>500000000</v>
      </c>
      <c r="I103" s="76">
        <v>84500000</v>
      </c>
      <c r="J103" s="76">
        <v>167000000</v>
      </c>
      <c r="K103" s="76">
        <v>23000000</v>
      </c>
      <c r="L103" s="76">
        <v>74500000</v>
      </c>
      <c r="M103" s="76">
        <v>91000000</v>
      </c>
      <c r="N103" s="76">
        <v>56000000</v>
      </c>
      <c r="O103" s="76">
        <v>70000000</v>
      </c>
      <c r="P103" s="76">
        <v>211000000.00000003</v>
      </c>
      <c r="Q103" s="76">
        <v>20000000</v>
      </c>
      <c r="S103" s="40"/>
      <c r="T103" s="42"/>
      <c r="U103" s="42"/>
      <c r="V103" s="42"/>
      <c r="W103" s="42"/>
      <c r="X103" s="42"/>
      <c r="Y103" s="42"/>
      <c r="Z103" s="42"/>
      <c r="AA103" s="42"/>
      <c r="AB103" s="42"/>
      <c r="AC103" s="42"/>
      <c r="AD103" s="42"/>
      <c r="AE103" s="42"/>
      <c r="AF103" s="42"/>
      <c r="AG103" s="42"/>
      <c r="AH103" s="42"/>
      <c r="AI103" s="42"/>
      <c r="AJ103" s="40"/>
      <c r="AR103" s="40"/>
      <c r="AS103" s="42"/>
      <c r="AT103" s="42"/>
      <c r="AU103" s="42"/>
      <c r="AV103" s="42"/>
      <c r="AW103" s="42"/>
      <c r="AX103" s="42"/>
      <c r="AY103" s="42"/>
      <c r="AZ103" s="42"/>
      <c r="BA103" s="42"/>
      <c r="BB103" s="42"/>
      <c r="BC103" s="42"/>
      <c r="BD103" s="42"/>
      <c r="BE103" s="42"/>
      <c r="BF103" s="42"/>
      <c r="BG103" s="42"/>
      <c r="BH103" s="42"/>
    </row>
    <row r="104" spans="1:60">
      <c r="A104" s="75">
        <v>39436</v>
      </c>
      <c r="B104" s="120">
        <v>620389918.1687386</v>
      </c>
      <c r="C104" s="76">
        <v>148567059.35093474</v>
      </c>
      <c r="D104" s="76">
        <v>199177815.83312136</v>
      </c>
      <c r="E104" s="76">
        <v>2596000000</v>
      </c>
      <c r="F104" s="76">
        <v>1698999999.9999998</v>
      </c>
      <c r="G104" s="76">
        <v>1038500000</v>
      </c>
      <c r="H104" s="76">
        <v>500000000</v>
      </c>
      <c r="I104" s="76">
        <v>84500000</v>
      </c>
      <c r="J104" s="76">
        <v>167000000</v>
      </c>
      <c r="K104" s="76">
        <v>23000000</v>
      </c>
      <c r="L104" s="76">
        <v>74500000</v>
      </c>
      <c r="M104" s="76">
        <v>91000000</v>
      </c>
      <c r="N104" s="76">
        <v>56000000</v>
      </c>
      <c r="O104" s="76">
        <v>70000000</v>
      </c>
      <c r="P104" s="76">
        <v>211000000.00000003</v>
      </c>
      <c r="Q104" s="76">
        <v>20000000</v>
      </c>
      <c r="S104" s="40"/>
      <c r="T104" s="42"/>
      <c r="U104" s="42"/>
      <c r="V104" s="42"/>
      <c r="W104" s="42"/>
      <c r="X104" s="42"/>
      <c r="Y104" s="42"/>
      <c r="Z104" s="42"/>
      <c r="AA104" s="42"/>
      <c r="AB104" s="42"/>
      <c r="AC104" s="42"/>
      <c r="AD104" s="42"/>
      <c r="AE104" s="42"/>
      <c r="AF104" s="42"/>
      <c r="AG104" s="42"/>
      <c r="AH104" s="42"/>
      <c r="AI104" s="42"/>
      <c r="AJ104" s="40"/>
      <c r="AR104" s="40"/>
      <c r="AS104" s="42"/>
      <c r="AT104" s="42"/>
      <c r="AU104" s="42"/>
      <c r="AV104" s="42"/>
      <c r="AW104" s="42"/>
      <c r="AX104" s="42"/>
      <c r="AY104" s="42"/>
      <c r="AZ104" s="42"/>
      <c r="BA104" s="42"/>
      <c r="BB104" s="42"/>
      <c r="BC104" s="42"/>
      <c r="BD104" s="42"/>
      <c r="BE104" s="42"/>
      <c r="BF104" s="42"/>
      <c r="BG104" s="42"/>
      <c r="BH104" s="42"/>
    </row>
    <row r="105" spans="1:60">
      <c r="A105" s="75">
        <v>39467</v>
      </c>
      <c r="B105" s="120">
        <v>620389918.1687386</v>
      </c>
      <c r="C105" s="76">
        <v>148567059.35093474</v>
      </c>
      <c r="D105" s="76">
        <v>199177815.83312136</v>
      </c>
      <c r="E105" s="76">
        <v>2596000000</v>
      </c>
      <c r="F105" s="76">
        <v>1698999999.9999998</v>
      </c>
      <c r="G105" s="76">
        <v>1038500000</v>
      </c>
      <c r="H105" s="76">
        <v>500000000</v>
      </c>
      <c r="I105" s="76">
        <v>84500000</v>
      </c>
      <c r="J105" s="76">
        <v>167000000</v>
      </c>
      <c r="K105" s="76">
        <v>23000000</v>
      </c>
      <c r="L105" s="76">
        <v>74500000</v>
      </c>
      <c r="M105" s="76">
        <v>91000000</v>
      </c>
      <c r="N105" s="76">
        <v>56000000</v>
      </c>
      <c r="O105" s="76">
        <v>70000000</v>
      </c>
      <c r="P105" s="76">
        <v>211000000.00000003</v>
      </c>
      <c r="Q105" s="76">
        <v>20000000</v>
      </c>
      <c r="S105" s="40"/>
      <c r="T105" s="42"/>
      <c r="U105" s="42"/>
      <c r="V105" s="42"/>
      <c r="W105" s="42"/>
      <c r="X105" s="42"/>
      <c r="Y105" s="42"/>
      <c r="Z105" s="42"/>
      <c r="AA105" s="42"/>
      <c r="AB105" s="42"/>
      <c r="AC105" s="42"/>
      <c r="AD105" s="42"/>
      <c r="AE105" s="42"/>
      <c r="AF105" s="42"/>
      <c r="AG105" s="42"/>
      <c r="AH105" s="42"/>
      <c r="AI105" s="42"/>
      <c r="AJ105" s="40"/>
      <c r="AR105" s="40"/>
      <c r="AS105" s="42"/>
      <c r="AT105" s="42"/>
      <c r="AU105" s="42"/>
      <c r="AV105" s="42"/>
      <c r="AW105" s="42"/>
      <c r="AX105" s="42"/>
      <c r="AY105" s="42"/>
      <c r="AZ105" s="42"/>
      <c r="BA105" s="42"/>
      <c r="BB105" s="42"/>
      <c r="BC105" s="42"/>
      <c r="BD105" s="42"/>
      <c r="BE105" s="42"/>
      <c r="BF105" s="42"/>
      <c r="BG105" s="42"/>
      <c r="BH105" s="42"/>
    </row>
    <row r="106" spans="1:60">
      <c r="A106" s="75">
        <v>39498</v>
      </c>
      <c r="B106" s="120">
        <v>366498370.45094711</v>
      </c>
      <c r="C106" s="76">
        <v>87766715.029042602</v>
      </c>
      <c r="D106" s="76">
        <v>117665266.30267251</v>
      </c>
      <c r="E106" s="76">
        <v>2596000000</v>
      </c>
      <c r="F106" s="76">
        <v>1698999999.9999998</v>
      </c>
      <c r="G106" s="76">
        <v>1038500000</v>
      </c>
      <c r="H106" s="76">
        <v>500000000</v>
      </c>
      <c r="I106" s="76">
        <v>84500000</v>
      </c>
      <c r="J106" s="76">
        <v>167000000</v>
      </c>
      <c r="K106" s="76">
        <v>23000000</v>
      </c>
      <c r="L106" s="76">
        <v>74500000</v>
      </c>
      <c r="M106" s="76">
        <v>91000000</v>
      </c>
      <c r="N106" s="76">
        <v>56000000</v>
      </c>
      <c r="O106" s="76">
        <v>70000000</v>
      </c>
      <c r="P106" s="76">
        <v>211000000.00000003</v>
      </c>
      <c r="Q106" s="76">
        <v>20000000</v>
      </c>
      <c r="S106" s="40"/>
      <c r="T106" s="42"/>
      <c r="U106" s="42"/>
      <c r="V106" s="42"/>
      <c r="W106" s="42"/>
      <c r="X106" s="42"/>
      <c r="Y106" s="42"/>
      <c r="Z106" s="42"/>
      <c r="AA106" s="42"/>
      <c r="AB106" s="42"/>
      <c r="AC106" s="42"/>
      <c r="AD106" s="42"/>
      <c r="AE106" s="42"/>
      <c r="AF106" s="42"/>
      <c r="AG106" s="42"/>
      <c r="AH106" s="42"/>
      <c r="AI106" s="42"/>
      <c r="AJ106" s="40"/>
      <c r="AR106" s="40"/>
      <c r="AS106" s="42"/>
      <c r="AT106" s="42"/>
      <c r="AU106" s="42"/>
      <c r="AV106" s="42"/>
      <c r="AW106" s="42"/>
      <c r="AX106" s="42"/>
      <c r="AY106" s="42"/>
      <c r="AZ106" s="42"/>
      <c r="BA106" s="42"/>
      <c r="BB106" s="42"/>
      <c r="BC106" s="42"/>
      <c r="BD106" s="42"/>
      <c r="BE106" s="42"/>
      <c r="BF106" s="42"/>
      <c r="BG106" s="42"/>
      <c r="BH106" s="42"/>
    </row>
    <row r="107" spans="1:60">
      <c r="A107" s="75">
        <v>39527</v>
      </c>
      <c r="B107" s="120">
        <v>366498370.45094711</v>
      </c>
      <c r="C107" s="76">
        <v>87766715.029042602</v>
      </c>
      <c r="D107" s="76">
        <v>117665266.30267251</v>
      </c>
      <c r="E107" s="76">
        <v>2596000000</v>
      </c>
      <c r="F107" s="76">
        <v>1698999999.9999998</v>
      </c>
      <c r="G107" s="76">
        <v>1038500000</v>
      </c>
      <c r="H107" s="76">
        <v>500000000</v>
      </c>
      <c r="I107" s="76">
        <v>84500000</v>
      </c>
      <c r="J107" s="76">
        <v>167000000</v>
      </c>
      <c r="K107" s="76">
        <v>23000000</v>
      </c>
      <c r="L107" s="76">
        <v>74500000</v>
      </c>
      <c r="M107" s="76">
        <v>91000000</v>
      </c>
      <c r="N107" s="76">
        <v>56000000</v>
      </c>
      <c r="O107" s="76">
        <v>70000000</v>
      </c>
      <c r="P107" s="76">
        <v>211000000.00000003</v>
      </c>
      <c r="Q107" s="76">
        <v>20000000</v>
      </c>
      <c r="S107" s="40"/>
      <c r="T107" s="42"/>
      <c r="U107" s="42"/>
      <c r="V107" s="42"/>
      <c r="W107" s="42"/>
      <c r="X107" s="42"/>
      <c r="Y107" s="42"/>
      <c r="Z107" s="42"/>
      <c r="AA107" s="42"/>
      <c r="AB107" s="42"/>
      <c r="AC107" s="42"/>
      <c r="AD107" s="42"/>
      <c r="AE107" s="42"/>
      <c r="AF107" s="42"/>
      <c r="AG107" s="42"/>
      <c r="AH107" s="42"/>
      <c r="AI107" s="42"/>
      <c r="AJ107" s="40"/>
      <c r="AR107" s="40"/>
      <c r="AS107" s="42"/>
      <c r="AT107" s="42"/>
      <c r="AU107" s="42"/>
      <c r="AV107" s="42"/>
      <c r="AW107" s="42"/>
      <c r="AX107" s="42"/>
      <c r="AY107" s="42"/>
      <c r="AZ107" s="42"/>
      <c r="BA107" s="42"/>
      <c r="BB107" s="42"/>
      <c r="BC107" s="42"/>
      <c r="BD107" s="42"/>
      <c r="BE107" s="42"/>
      <c r="BF107" s="42"/>
      <c r="BG107" s="42"/>
      <c r="BH107" s="42"/>
    </row>
    <row r="108" spans="1:60">
      <c r="A108" s="75">
        <v>39558</v>
      </c>
      <c r="B108" s="120">
        <v>366498370.45094711</v>
      </c>
      <c r="C108" s="76">
        <v>87766715.029042602</v>
      </c>
      <c r="D108" s="76">
        <v>117665266.30267251</v>
      </c>
      <c r="E108" s="76">
        <v>2596000000</v>
      </c>
      <c r="F108" s="76">
        <v>1698999999.9999998</v>
      </c>
      <c r="G108" s="76">
        <v>1038500000</v>
      </c>
      <c r="H108" s="76">
        <v>500000000</v>
      </c>
      <c r="I108" s="76">
        <v>84500000</v>
      </c>
      <c r="J108" s="76">
        <v>167000000</v>
      </c>
      <c r="K108" s="76">
        <v>23000000</v>
      </c>
      <c r="L108" s="76">
        <v>74500000</v>
      </c>
      <c r="M108" s="76">
        <v>91000000</v>
      </c>
      <c r="N108" s="76">
        <v>56000000</v>
      </c>
      <c r="O108" s="76">
        <v>70000000</v>
      </c>
      <c r="P108" s="76">
        <v>211000000.00000003</v>
      </c>
      <c r="Q108" s="76">
        <v>20000000</v>
      </c>
      <c r="S108" s="40"/>
      <c r="T108" s="42"/>
      <c r="U108" s="42"/>
      <c r="V108" s="42"/>
      <c r="W108" s="42"/>
      <c r="X108" s="42"/>
      <c r="Y108" s="42"/>
      <c r="Z108" s="42"/>
      <c r="AA108" s="42"/>
      <c r="AB108" s="42"/>
      <c r="AC108" s="42"/>
      <c r="AD108" s="42"/>
      <c r="AE108" s="42"/>
      <c r="AF108" s="42"/>
      <c r="AG108" s="42"/>
      <c r="AH108" s="42"/>
      <c r="AI108" s="42"/>
      <c r="AJ108" s="40"/>
      <c r="AR108" s="40"/>
      <c r="AS108" s="42"/>
      <c r="AT108" s="42"/>
      <c r="AU108" s="42"/>
      <c r="AV108" s="42"/>
      <c r="AW108" s="42"/>
      <c r="AX108" s="42"/>
      <c r="AY108" s="42"/>
      <c r="AZ108" s="42"/>
      <c r="BA108" s="42"/>
      <c r="BB108" s="42"/>
      <c r="BC108" s="42"/>
      <c r="BD108" s="42"/>
      <c r="BE108" s="42"/>
      <c r="BF108" s="42"/>
      <c r="BG108" s="42"/>
      <c r="BH108" s="42"/>
    </row>
    <row r="109" spans="1:60">
      <c r="A109" s="75">
        <v>39588</v>
      </c>
      <c r="B109" s="120">
        <v>126382569.60001652</v>
      </c>
      <c r="C109" s="76">
        <v>30265299.562109217</v>
      </c>
      <c r="D109" s="76">
        <v>40575456.555794775</v>
      </c>
      <c r="E109" s="76">
        <v>2596000000</v>
      </c>
      <c r="F109" s="76">
        <v>1698999999.9999998</v>
      </c>
      <c r="G109" s="76">
        <v>1038500000</v>
      </c>
      <c r="H109" s="76">
        <v>500000000</v>
      </c>
      <c r="I109" s="76">
        <v>84500000</v>
      </c>
      <c r="J109" s="76">
        <v>167000000</v>
      </c>
      <c r="K109" s="76">
        <v>23000000</v>
      </c>
      <c r="L109" s="76">
        <v>74500000</v>
      </c>
      <c r="M109" s="76">
        <v>91000000</v>
      </c>
      <c r="N109" s="76">
        <v>56000000</v>
      </c>
      <c r="O109" s="76">
        <v>70000000</v>
      </c>
      <c r="P109" s="76">
        <v>211000000.00000003</v>
      </c>
      <c r="Q109" s="76">
        <v>20000000</v>
      </c>
      <c r="S109" s="40"/>
      <c r="T109" s="42"/>
      <c r="U109" s="42"/>
      <c r="V109" s="42"/>
      <c r="W109" s="42"/>
      <c r="X109" s="42"/>
      <c r="Y109" s="42"/>
      <c r="Z109" s="42"/>
      <c r="AA109" s="42"/>
      <c r="AB109" s="42"/>
      <c r="AC109" s="42"/>
      <c r="AD109" s="42"/>
      <c r="AE109" s="42"/>
      <c r="AF109" s="42"/>
      <c r="AG109" s="42"/>
      <c r="AH109" s="42"/>
      <c r="AI109" s="42"/>
      <c r="AJ109" s="40"/>
      <c r="AR109" s="40"/>
      <c r="AS109" s="42"/>
      <c r="AT109" s="42"/>
      <c r="AU109" s="42"/>
      <c r="AV109" s="42"/>
      <c r="AW109" s="42"/>
      <c r="AX109" s="42"/>
      <c r="AY109" s="42"/>
      <c r="AZ109" s="42"/>
      <c r="BA109" s="42"/>
      <c r="BB109" s="42"/>
      <c r="BC109" s="42"/>
      <c r="BD109" s="42"/>
      <c r="BE109" s="42"/>
      <c r="BF109" s="42"/>
      <c r="BG109" s="42"/>
      <c r="BH109" s="42"/>
    </row>
    <row r="110" spans="1:60">
      <c r="A110" s="75">
        <v>39619</v>
      </c>
      <c r="B110" s="120">
        <v>126382569.60001652</v>
      </c>
      <c r="C110" s="76">
        <v>30265299.562109217</v>
      </c>
      <c r="D110" s="76">
        <v>40575456.555794775</v>
      </c>
      <c r="E110" s="76">
        <v>2596000000</v>
      </c>
      <c r="F110" s="76">
        <v>1698999999.9999998</v>
      </c>
      <c r="G110" s="76">
        <v>1038500000</v>
      </c>
      <c r="H110" s="76">
        <v>500000000</v>
      </c>
      <c r="I110" s="76">
        <v>84500000</v>
      </c>
      <c r="J110" s="76">
        <v>167000000</v>
      </c>
      <c r="K110" s="76">
        <v>23000000</v>
      </c>
      <c r="L110" s="76">
        <v>74500000</v>
      </c>
      <c r="M110" s="76">
        <v>91000000</v>
      </c>
      <c r="N110" s="76">
        <v>56000000</v>
      </c>
      <c r="O110" s="76">
        <v>70000000</v>
      </c>
      <c r="P110" s="76">
        <v>211000000.00000003</v>
      </c>
      <c r="Q110" s="76">
        <v>20000000</v>
      </c>
      <c r="S110" s="40"/>
      <c r="T110" s="42"/>
      <c r="U110" s="42"/>
      <c r="V110" s="42"/>
      <c r="W110" s="42"/>
      <c r="X110" s="42"/>
      <c r="Y110" s="42"/>
      <c r="Z110" s="42"/>
      <c r="AA110" s="42"/>
      <c r="AB110" s="42"/>
      <c r="AC110" s="42"/>
      <c r="AD110" s="42"/>
      <c r="AE110" s="42"/>
      <c r="AF110" s="42"/>
      <c r="AG110" s="42"/>
      <c r="AH110" s="42"/>
      <c r="AI110" s="42"/>
      <c r="AJ110" s="40"/>
      <c r="AR110" s="40"/>
      <c r="AS110" s="42"/>
      <c r="AT110" s="42"/>
      <c r="AU110" s="42"/>
      <c r="AV110" s="42"/>
      <c r="AW110" s="42"/>
      <c r="AX110" s="42"/>
      <c r="AY110" s="42"/>
      <c r="AZ110" s="42"/>
      <c r="BA110" s="42"/>
      <c r="BB110" s="42"/>
      <c r="BC110" s="42"/>
      <c r="BD110" s="42"/>
      <c r="BE110" s="42"/>
      <c r="BF110" s="42"/>
      <c r="BG110" s="42"/>
      <c r="BH110" s="42"/>
    </row>
    <row r="111" spans="1:60">
      <c r="A111" s="75">
        <v>39649</v>
      </c>
      <c r="B111" s="120">
        <v>126382569.60001652</v>
      </c>
      <c r="C111" s="76">
        <v>30265299.562109217</v>
      </c>
      <c r="D111" s="76">
        <v>40575456.555794775</v>
      </c>
      <c r="E111" s="76">
        <v>2596000000</v>
      </c>
      <c r="F111" s="76">
        <v>1698999999.9999998</v>
      </c>
      <c r="G111" s="76">
        <v>1038500000</v>
      </c>
      <c r="H111" s="76">
        <v>500000000</v>
      </c>
      <c r="I111" s="76">
        <v>84500000</v>
      </c>
      <c r="J111" s="76">
        <v>167000000</v>
      </c>
      <c r="K111" s="76">
        <v>23000000</v>
      </c>
      <c r="L111" s="76">
        <v>74500000</v>
      </c>
      <c r="M111" s="76">
        <v>91000000</v>
      </c>
      <c r="N111" s="76">
        <v>56000000</v>
      </c>
      <c r="O111" s="76">
        <v>70000000</v>
      </c>
      <c r="P111" s="76">
        <v>211000000.00000003</v>
      </c>
      <c r="Q111" s="76">
        <v>20000000</v>
      </c>
      <c r="S111" s="40"/>
      <c r="T111" s="42"/>
      <c r="U111" s="42"/>
      <c r="V111" s="42"/>
      <c r="W111" s="42"/>
      <c r="X111" s="42"/>
      <c r="Y111" s="42"/>
      <c r="Z111" s="42"/>
      <c r="AA111" s="42"/>
      <c r="AB111" s="42"/>
      <c r="AC111" s="42"/>
      <c r="AD111" s="42"/>
      <c r="AE111" s="42"/>
      <c r="AF111" s="42"/>
      <c r="AG111" s="42"/>
      <c r="AH111" s="42"/>
      <c r="AI111" s="42"/>
      <c r="AJ111" s="40"/>
      <c r="AR111" s="40"/>
    </row>
    <row r="112" spans="1:60">
      <c r="A112" s="75">
        <v>39680</v>
      </c>
      <c r="B112" s="120">
        <v>0</v>
      </c>
      <c r="C112" s="76">
        <v>0</v>
      </c>
      <c r="D112" s="76">
        <v>0</v>
      </c>
      <c r="E112" s="76">
        <v>2562945846.7517662</v>
      </c>
      <c r="F112" s="76">
        <v>1698999999.9999998</v>
      </c>
      <c r="G112" s="76">
        <v>1038500000</v>
      </c>
      <c r="H112" s="76">
        <v>500000000</v>
      </c>
      <c r="I112" s="76">
        <v>0</v>
      </c>
      <c r="J112" s="76">
        <v>167000000</v>
      </c>
      <c r="K112" s="76">
        <v>23000000</v>
      </c>
      <c r="L112" s="76">
        <v>0</v>
      </c>
      <c r="M112" s="76">
        <v>91000000</v>
      </c>
      <c r="N112" s="76">
        <v>56000000</v>
      </c>
      <c r="O112" s="76">
        <v>70000000</v>
      </c>
      <c r="P112" s="76">
        <v>211000000.00000003</v>
      </c>
      <c r="Q112" s="76">
        <v>20000000</v>
      </c>
      <c r="S112" s="40"/>
      <c r="AJ112" s="40"/>
      <c r="AR112" s="40"/>
    </row>
    <row r="113" spans="1:44">
      <c r="A113" s="75">
        <v>39711</v>
      </c>
      <c r="B113" s="120">
        <v>0</v>
      </c>
      <c r="C113" s="76">
        <v>0</v>
      </c>
      <c r="D113" s="76">
        <v>0</v>
      </c>
      <c r="E113" s="76">
        <v>2562945846.7517662</v>
      </c>
      <c r="F113" s="76">
        <v>1698999999.9999998</v>
      </c>
      <c r="G113" s="76">
        <v>1038500000</v>
      </c>
      <c r="H113" s="76">
        <v>500000000</v>
      </c>
      <c r="I113" s="76">
        <v>0</v>
      </c>
      <c r="J113" s="76">
        <v>167000000</v>
      </c>
      <c r="K113" s="76">
        <v>23000000</v>
      </c>
      <c r="L113" s="76">
        <v>0</v>
      </c>
      <c r="M113" s="76">
        <v>91000000</v>
      </c>
      <c r="N113" s="76">
        <v>56000000</v>
      </c>
      <c r="O113" s="76">
        <v>70000000</v>
      </c>
      <c r="P113" s="76">
        <v>211000000.00000003</v>
      </c>
      <c r="Q113" s="76">
        <v>20000000</v>
      </c>
      <c r="S113" s="40"/>
      <c r="AJ113" s="40"/>
      <c r="AR113" s="40"/>
    </row>
    <row r="114" spans="1:44">
      <c r="A114" s="75">
        <v>39741</v>
      </c>
      <c r="B114" s="120">
        <v>0</v>
      </c>
      <c r="C114" s="76">
        <v>0</v>
      </c>
      <c r="D114" s="76">
        <v>0</v>
      </c>
      <c r="E114" s="76">
        <v>2562945846.7517662</v>
      </c>
      <c r="F114" s="76">
        <v>1698999999.9999998</v>
      </c>
      <c r="G114" s="76">
        <v>1038500000</v>
      </c>
      <c r="H114" s="76">
        <v>500000000</v>
      </c>
      <c r="I114" s="76">
        <v>0</v>
      </c>
      <c r="J114" s="76">
        <v>167000000</v>
      </c>
      <c r="K114" s="76">
        <v>23000000</v>
      </c>
      <c r="L114" s="76">
        <v>0</v>
      </c>
      <c r="M114" s="76">
        <v>91000000</v>
      </c>
      <c r="N114" s="76">
        <v>56000000</v>
      </c>
      <c r="O114" s="76">
        <v>70000000</v>
      </c>
      <c r="P114" s="76">
        <v>211000000.00000003</v>
      </c>
      <c r="Q114" s="76">
        <v>20000000</v>
      </c>
      <c r="S114" s="40"/>
      <c r="AJ114" s="40"/>
      <c r="AR114" s="40"/>
    </row>
    <row r="115" spans="1:44">
      <c r="A115" s="75">
        <v>39772</v>
      </c>
      <c r="B115" s="120">
        <v>0</v>
      </c>
      <c r="C115" s="76">
        <v>0</v>
      </c>
      <c r="D115" s="76">
        <v>0</v>
      </c>
      <c r="E115" s="76">
        <v>2152132205.4596939</v>
      </c>
      <c r="F115" s="76">
        <v>1698999999.9999998</v>
      </c>
      <c r="G115" s="76">
        <v>1038500000</v>
      </c>
      <c r="H115" s="76">
        <v>500000000</v>
      </c>
      <c r="I115" s="76">
        <v>0</v>
      </c>
      <c r="J115" s="76">
        <v>167000000</v>
      </c>
      <c r="K115" s="76">
        <v>23000000</v>
      </c>
      <c r="L115" s="76">
        <v>0</v>
      </c>
      <c r="M115" s="76">
        <v>91000000</v>
      </c>
      <c r="N115" s="76">
        <v>56000000</v>
      </c>
      <c r="O115" s="76">
        <v>70000000</v>
      </c>
      <c r="P115" s="76">
        <v>211000000.00000003</v>
      </c>
      <c r="Q115" s="76">
        <v>20000000</v>
      </c>
      <c r="S115" s="40"/>
      <c r="AJ115" s="40"/>
      <c r="AR115" s="40"/>
    </row>
    <row r="116" spans="1:44">
      <c r="A116" s="75">
        <v>39802</v>
      </c>
      <c r="B116" s="120">
        <v>0</v>
      </c>
      <c r="C116" s="76">
        <v>0</v>
      </c>
      <c r="D116" s="76">
        <v>0</v>
      </c>
      <c r="E116" s="76">
        <v>2152132205.4596939</v>
      </c>
      <c r="F116" s="76">
        <v>1698999999.9999998</v>
      </c>
      <c r="G116" s="76">
        <v>1038500000</v>
      </c>
      <c r="H116" s="76">
        <v>500000000</v>
      </c>
      <c r="I116" s="76">
        <v>0</v>
      </c>
      <c r="J116" s="76">
        <v>167000000</v>
      </c>
      <c r="K116" s="76">
        <v>23000000</v>
      </c>
      <c r="L116" s="76">
        <v>0</v>
      </c>
      <c r="M116" s="76">
        <v>91000000</v>
      </c>
      <c r="N116" s="76">
        <v>56000000</v>
      </c>
      <c r="O116" s="76">
        <v>70000000</v>
      </c>
      <c r="P116" s="76">
        <v>211000000.00000003</v>
      </c>
      <c r="Q116" s="76">
        <v>20000000</v>
      </c>
      <c r="S116" s="40"/>
      <c r="AJ116" s="40"/>
      <c r="AR116" s="40"/>
    </row>
    <row r="117" spans="1:44">
      <c r="A117" s="75">
        <v>39833</v>
      </c>
      <c r="B117" s="120">
        <v>0</v>
      </c>
      <c r="C117" s="76">
        <v>0</v>
      </c>
      <c r="D117" s="76">
        <v>0</v>
      </c>
      <c r="E117" s="76">
        <v>2152132205.4596939</v>
      </c>
      <c r="F117" s="76">
        <v>1698999999.9999998</v>
      </c>
      <c r="G117" s="76">
        <v>1038500000</v>
      </c>
      <c r="H117" s="76">
        <v>500000000</v>
      </c>
      <c r="I117" s="76">
        <v>0</v>
      </c>
      <c r="J117" s="76">
        <v>167000000</v>
      </c>
      <c r="K117" s="76">
        <v>23000000</v>
      </c>
      <c r="L117" s="76">
        <v>0</v>
      </c>
      <c r="M117" s="76">
        <v>91000000</v>
      </c>
      <c r="N117" s="76">
        <v>56000000</v>
      </c>
      <c r="O117" s="76">
        <v>70000000</v>
      </c>
      <c r="P117" s="76">
        <v>211000000.00000003</v>
      </c>
      <c r="Q117" s="76">
        <v>20000000</v>
      </c>
      <c r="S117" s="40"/>
      <c r="AJ117" s="40"/>
      <c r="AR117" s="40"/>
    </row>
    <row r="118" spans="1:44">
      <c r="A118" s="75">
        <v>39864</v>
      </c>
      <c r="B118" s="120">
        <v>0</v>
      </c>
      <c r="C118" s="76">
        <v>0</v>
      </c>
      <c r="D118" s="76">
        <v>0</v>
      </c>
      <c r="E118" s="76">
        <v>1763608651.3436773</v>
      </c>
      <c r="F118" s="76">
        <v>1698999999.9999998</v>
      </c>
      <c r="G118" s="76">
        <v>1038500000</v>
      </c>
      <c r="H118" s="76">
        <v>500000000</v>
      </c>
      <c r="I118" s="76">
        <v>0</v>
      </c>
      <c r="J118" s="76">
        <v>167000000</v>
      </c>
      <c r="K118" s="76">
        <v>23000000</v>
      </c>
      <c r="L118" s="76">
        <v>0</v>
      </c>
      <c r="M118" s="76">
        <v>91000000</v>
      </c>
      <c r="N118" s="76">
        <v>56000000</v>
      </c>
      <c r="O118" s="76">
        <v>70000000</v>
      </c>
      <c r="P118" s="76">
        <v>211000000.00000003</v>
      </c>
      <c r="Q118" s="76">
        <v>20000000</v>
      </c>
      <c r="S118" s="40"/>
      <c r="AJ118" s="40"/>
      <c r="AR118" s="40"/>
    </row>
    <row r="119" spans="1:44">
      <c r="A119" s="75">
        <v>39892</v>
      </c>
      <c r="B119" s="120">
        <v>0</v>
      </c>
      <c r="C119" s="76">
        <v>0</v>
      </c>
      <c r="D119" s="76">
        <v>0</v>
      </c>
      <c r="E119" s="76">
        <v>1763608651.3436773</v>
      </c>
      <c r="F119" s="76">
        <v>1698999999.9999998</v>
      </c>
      <c r="G119" s="76">
        <v>1038500000</v>
      </c>
      <c r="H119" s="76">
        <v>500000000</v>
      </c>
      <c r="I119" s="76">
        <v>0</v>
      </c>
      <c r="J119" s="76">
        <v>167000000</v>
      </c>
      <c r="K119" s="76">
        <v>23000000</v>
      </c>
      <c r="L119" s="76">
        <v>0</v>
      </c>
      <c r="M119" s="76">
        <v>91000000</v>
      </c>
      <c r="N119" s="76">
        <v>56000000</v>
      </c>
      <c r="O119" s="76">
        <v>70000000</v>
      </c>
      <c r="P119" s="76">
        <v>211000000.00000003</v>
      </c>
      <c r="Q119" s="76">
        <v>20000000</v>
      </c>
      <c r="S119" s="40"/>
      <c r="AJ119" s="40"/>
      <c r="AR119" s="40"/>
    </row>
    <row r="120" spans="1:44">
      <c r="A120" s="75">
        <v>39923</v>
      </c>
      <c r="B120" s="120">
        <v>0</v>
      </c>
      <c r="C120" s="76">
        <v>0</v>
      </c>
      <c r="D120" s="76">
        <v>0</v>
      </c>
      <c r="E120" s="76">
        <v>1763608651.3436773</v>
      </c>
      <c r="F120" s="76">
        <v>1698999999.9999998</v>
      </c>
      <c r="G120" s="76">
        <v>1038500000</v>
      </c>
      <c r="H120" s="76">
        <v>500000000</v>
      </c>
      <c r="I120" s="76">
        <v>0</v>
      </c>
      <c r="J120" s="76">
        <v>167000000</v>
      </c>
      <c r="K120" s="76">
        <v>23000000</v>
      </c>
      <c r="L120" s="76">
        <v>0</v>
      </c>
      <c r="M120" s="76">
        <v>91000000</v>
      </c>
      <c r="N120" s="76">
        <v>56000000</v>
      </c>
      <c r="O120" s="76">
        <v>70000000</v>
      </c>
      <c r="P120" s="76">
        <v>211000000.00000003</v>
      </c>
      <c r="Q120" s="76">
        <v>20000000</v>
      </c>
      <c r="S120" s="40"/>
      <c r="AJ120" s="40"/>
      <c r="AR120" s="40"/>
    </row>
    <row r="121" spans="1:44">
      <c r="A121" s="75">
        <v>39953</v>
      </c>
      <c r="B121" s="120">
        <v>0</v>
      </c>
      <c r="C121" s="76">
        <v>0</v>
      </c>
      <c r="D121" s="76">
        <v>0</v>
      </c>
      <c r="E121" s="76">
        <v>1396165760.1383629</v>
      </c>
      <c r="F121" s="76">
        <v>1698999999.9999998</v>
      </c>
      <c r="G121" s="76">
        <v>1038500000</v>
      </c>
      <c r="H121" s="76">
        <v>500000000</v>
      </c>
      <c r="I121" s="76">
        <v>0</v>
      </c>
      <c r="J121" s="76">
        <v>167000000</v>
      </c>
      <c r="K121" s="76">
        <v>23000000</v>
      </c>
      <c r="L121" s="76">
        <v>0</v>
      </c>
      <c r="M121" s="76">
        <v>91000000</v>
      </c>
      <c r="N121" s="76">
        <v>56000000</v>
      </c>
      <c r="O121" s="76">
        <v>70000000</v>
      </c>
      <c r="P121" s="76">
        <v>211000000.00000003</v>
      </c>
      <c r="Q121" s="76">
        <v>20000000</v>
      </c>
      <c r="S121" s="40"/>
      <c r="AJ121" s="40"/>
      <c r="AR121" s="40"/>
    </row>
    <row r="122" spans="1:44">
      <c r="A122" s="75">
        <v>39984</v>
      </c>
      <c r="B122" s="120">
        <v>0</v>
      </c>
      <c r="C122" s="76">
        <v>0</v>
      </c>
      <c r="D122" s="76">
        <v>0</v>
      </c>
      <c r="E122" s="76">
        <v>1396165760.1383629</v>
      </c>
      <c r="F122" s="76">
        <v>1698999999.9999998</v>
      </c>
      <c r="G122" s="76">
        <v>1038500000</v>
      </c>
      <c r="H122" s="76">
        <v>500000000</v>
      </c>
      <c r="I122" s="76">
        <v>0</v>
      </c>
      <c r="J122" s="76">
        <v>167000000</v>
      </c>
      <c r="K122" s="76">
        <v>23000000</v>
      </c>
      <c r="L122" s="76">
        <v>0</v>
      </c>
      <c r="M122" s="76">
        <v>91000000</v>
      </c>
      <c r="N122" s="76">
        <v>56000000</v>
      </c>
      <c r="O122" s="76">
        <v>70000000</v>
      </c>
      <c r="P122" s="76">
        <v>211000000.00000003</v>
      </c>
      <c r="Q122" s="76">
        <v>20000000</v>
      </c>
      <c r="S122" s="40"/>
      <c r="AJ122" s="40"/>
      <c r="AR122" s="40"/>
    </row>
    <row r="123" spans="1:44">
      <c r="A123" s="75">
        <v>40014</v>
      </c>
      <c r="B123" s="120">
        <v>0</v>
      </c>
      <c r="C123" s="76">
        <v>0</v>
      </c>
      <c r="D123" s="76">
        <v>0</v>
      </c>
      <c r="E123" s="76">
        <v>1396165760.1383629</v>
      </c>
      <c r="F123" s="76">
        <v>1698999999.9999998</v>
      </c>
      <c r="G123" s="76">
        <v>1038500000</v>
      </c>
      <c r="H123" s="76">
        <v>500000000</v>
      </c>
      <c r="I123" s="76">
        <v>0</v>
      </c>
      <c r="J123" s="76">
        <v>167000000</v>
      </c>
      <c r="K123" s="76">
        <v>23000000</v>
      </c>
      <c r="L123" s="76">
        <v>0</v>
      </c>
      <c r="M123" s="76">
        <v>91000000</v>
      </c>
      <c r="N123" s="76">
        <v>56000000</v>
      </c>
      <c r="O123" s="76">
        <v>70000000</v>
      </c>
      <c r="P123" s="76">
        <v>211000000.00000003</v>
      </c>
      <c r="Q123" s="73">
        <v>20000000</v>
      </c>
      <c r="S123" s="40"/>
      <c r="AJ123" s="40"/>
      <c r="AR123" s="40"/>
    </row>
    <row r="124" spans="1:44">
      <c r="A124" s="75">
        <v>40045</v>
      </c>
      <c r="B124" s="120">
        <v>0</v>
      </c>
      <c r="C124" s="76">
        <v>0</v>
      </c>
      <c r="D124" s="76">
        <v>0</v>
      </c>
      <c r="E124" s="76">
        <v>1048659728.9930698</v>
      </c>
      <c r="F124" s="76">
        <v>1698999999.9999998</v>
      </c>
      <c r="G124" s="76">
        <v>1038500000</v>
      </c>
      <c r="H124" s="76">
        <v>500000000</v>
      </c>
      <c r="I124" s="76">
        <v>0</v>
      </c>
      <c r="J124" s="76">
        <v>167000000</v>
      </c>
      <c r="K124" s="76">
        <v>23000000</v>
      </c>
      <c r="L124" s="76">
        <v>0</v>
      </c>
      <c r="M124" s="76">
        <v>91000000</v>
      </c>
      <c r="N124" s="76">
        <v>56000000</v>
      </c>
      <c r="O124" s="76">
        <v>70000000</v>
      </c>
      <c r="P124" s="76">
        <v>211000000.00000003</v>
      </c>
      <c r="Q124" s="73">
        <v>20000000</v>
      </c>
      <c r="S124" s="40"/>
      <c r="AJ124" s="40"/>
      <c r="AR124" s="40"/>
    </row>
    <row r="125" spans="1:44">
      <c r="A125" s="75">
        <v>40076</v>
      </c>
      <c r="B125" s="120">
        <v>0</v>
      </c>
      <c r="C125" s="76">
        <v>0</v>
      </c>
      <c r="D125" s="76">
        <v>0</v>
      </c>
      <c r="E125" s="76">
        <v>1048659728.9930698</v>
      </c>
      <c r="F125" s="76">
        <v>1698999999.9999998</v>
      </c>
      <c r="G125" s="76">
        <v>1038500000</v>
      </c>
      <c r="H125" s="76">
        <v>500000000</v>
      </c>
      <c r="I125" s="76">
        <v>0</v>
      </c>
      <c r="J125" s="76">
        <v>167000000</v>
      </c>
      <c r="K125" s="76">
        <v>23000000</v>
      </c>
      <c r="L125" s="76">
        <v>0</v>
      </c>
      <c r="M125" s="76">
        <v>91000000</v>
      </c>
      <c r="N125" s="76">
        <v>56000000</v>
      </c>
      <c r="O125" s="76">
        <v>70000000</v>
      </c>
      <c r="P125" s="76">
        <v>211000000.00000003</v>
      </c>
      <c r="Q125" s="73">
        <v>20000000</v>
      </c>
      <c r="S125" s="40"/>
      <c r="AJ125" s="40"/>
      <c r="AR125" s="40"/>
    </row>
    <row r="126" spans="1:44">
      <c r="A126" s="75">
        <v>40106</v>
      </c>
      <c r="B126" s="120">
        <v>0</v>
      </c>
      <c r="C126" s="76">
        <v>0</v>
      </c>
      <c r="D126" s="76">
        <v>0</v>
      </c>
      <c r="E126" s="76">
        <v>1048659728.9930698</v>
      </c>
      <c r="F126" s="76">
        <v>1698999999.9999998</v>
      </c>
      <c r="G126" s="76">
        <v>1038500000</v>
      </c>
      <c r="H126" s="76">
        <v>500000000</v>
      </c>
      <c r="I126" s="76">
        <v>0</v>
      </c>
      <c r="J126" s="76">
        <v>167000000</v>
      </c>
      <c r="K126" s="76">
        <v>23000000</v>
      </c>
      <c r="L126" s="76">
        <v>0</v>
      </c>
      <c r="M126" s="76">
        <v>91000000</v>
      </c>
      <c r="N126" s="76">
        <v>56000000</v>
      </c>
      <c r="O126" s="76">
        <v>70000000</v>
      </c>
      <c r="P126" s="76">
        <v>211000000.00000003</v>
      </c>
      <c r="Q126" s="73">
        <v>20000000</v>
      </c>
      <c r="S126" s="40"/>
      <c r="AJ126" s="40"/>
      <c r="AR126" s="40"/>
    </row>
    <row r="127" spans="1:44">
      <c r="A127" s="75">
        <v>40137</v>
      </c>
      <c r="B127" s="120">
        <v>0</v>
      </c>
      <c r="C127" s="76">
        <v>0</v>
      </c>
      <c r="D127" s="76">
        <v>0</v>
      </c>
      <c r="E127" s="76">
        <v>720008815.95941246</v>
      </c>
      <c r="F127" s="76">
        <v>1698999999.9999998</v>
      </c>
      <c r="G127" s="76">
        <v>1038500000</v>
      </c>
      <c r="H127" s="76">
        <v>500000000</v>
      </c>
      <c r="I127" s="76">
        <v>0</v>
      </c>
      <c r="J127" s="76">
        <v>167000000</v>
      </c>
      <c r="K127" s="76">
        <v>23000000</v>
      </c>
      <c r="L127" s="76">
        <v>0</v>
      </c>
      <c r="M127" s="76">
        <v>91000000</v>
      </c>
      <c r="N127" s="76">
        <v>56000000</v>
      </c>
      <c r="O127" s="76">
        <v>70000000</v>
      </c>
      <c r="P127" s="76">
        <v>211000000.00000003</v>
      </c>
      <c r="Q127" s="73">
        <v>20000000</v>
      </c>
      <c r="S127" s="40"/>
      <c r="AJ127" s="40"/>
      <c r="AR127" s="40"/>
    </row>
    <row r="128" spans="1:44">
      <c r="A128" s="75">
        <v>40167</v>
      </c>
      <c r="B128" s="120">
        <v>0</v>
      </c>
      <c r="C128" s="76">
        <v>0</v>
      </c>
      <c r="D128" s="76">
        <v>0</v>
      </c>
      <c r="E128" s="76">
        <v>720008815.95941246</v>
      </c>
      <c r="F128" s="76">
        <v>1698999999.9999998</v>
      </c>
      <c r="G128" s="76">
        <v>1038500000</v>
      </c>
      <c r="H128" s="76">
        <v>500000000</v>
      </c>
      <c r="I128" s="76">
        <v>0</v>
      </c>
      <c r="J128" s="76">
        <v>167000000</v>
      </c>
      <c r="K128" s="76">
        <v>23000000</v>
      </c>
      <c r="L128" s="76">
        <v>0</v>
      </c>
      <c r="M128" s="76">
        <v>91000000</v>
      </c>
      <c r="N128" s="76">
        <v>56000000</v>
      </c>
      <c r="O128" s="76">
        <v>70000000</v>
      </c>
      <c r="P128" s="76">
        <v>211000000.00000003</v>
      </c>
      <c r="Q128" s="73">
        <v>20000000</v>
      </c>
      <c r="S128" s="40"/>
      <c r="AJ128" s="40"/>
      <c r="AR128" s="40"/>
    </row>
    <row r="129" spans="1:44">
      <c r="A129" s="75">
        <v>40198</v>
      </c>
      <c r="B129" s="120">
        <v>0</v>
      </c>
      <c r="C129" s="76">
        <v>0</v>
      </c>
      <c r="D129" s="76">
        <v>0</v>
      </c>
      <c r="E129" s="76">
        <v>720008815.95941246</v>
      </c>
      <c r="F129" s="76">
        <v>1698999999.9999998</v>
      </c>
      <c r="G129" s="76">
        <v>1038500000</v>
      </c>
      <c r="H129" s="76">
        <v>500000000</v>
      </c>
      <c r="I129" s="76">
        <v>0</v>
      </c>
      <c r="J129" s="76">
        <v>167000000</v>
      </c>
      <c r="K129" s="76">
        <v>23000000</v>
      </c>
      <c r="L129" s="76">
        <v>0</v>
      </c>
      <c r="M129" s="76">
        <v>91000000</v>
      </c>
      <c r="N129" s="76">
        <v>56000000</v>
      </c>
      <c r="O129" s="76">
        <v>70000000</v>
      </c>
      <c r="P129" s="76">
        <v>211000000.00000003</v>
      </c>
      <c r="Q129" s="73">
        <v>20000000</v>
      </c>
      <c r="S129" s="40"/>
      <c r="AJ129" s="40"/>
      <c r="AR129" s="40"/>
    </row>
    <row r="130" spans="1:44">
      <c r="A130" s="75">
        <v>40231</v>
      </c>
      <c r="B130" s="120">
        <v>0</v>
      </c>
      <c r="C130" s="76">
        <v>0</v>
      </c>
      <c r="D130" s="76">
        <v>0</v>
      </c>
      <c r="E130" s="76">
        <v>409189972.6665988</v>
      </c>
      <c r="F130" s="76">
        <v>1698999999.9999998</v>
      </c>
      <c r="G130" s="76">
        <v>1038500000</v>
      </c>
      <c r="H130" s="76">
        <v>500000000</v>
      </c>
      <c r="I130" s="76">
        <v>0</v>
      </c>
      <c r="J130" s="76">
        <v>167000000</v>
      </c>
      <c r="K130" s="76">
        <v>23000000</v>
      </c>
      <c r="L130" s="76">
        <v>0</v>
      </c>
      <c r="M130" s="76">
        <v>91000000</v>
      </c>
      <c r="N130" s="76">
        <v>56000000</v>
      </c>
      <c r="O130" s="76">
        <v>70000000</v>
      </c>
      <c r="P130" s="76">
        <v>211000000.00000003</v>
      </c>
      <c r="Q130" s="73">
        <v>20000000</v>
      </c>
      <c r="S130" s="40"/>
      <c r="AJ130" s="40"/>
      <c r="AR130" s="40"/>
    </row>
    <row r="131" spans="1:44">
      <c r="A131" s="75">
        <v>40257</v>
      </c>
      <c r="B131" s="120">
        <v>0</v>
      </c>
      <c r="C131" s="76">
        <v>0</v>
      </c>
      <c r="D131" s="76">
        <v>0</v>
      </c>
      <c r="E131" s="76">
        <v>409189972.6665988</v>
      </c>
      <c r="F131" s="76">
        <v>1698999999.9999998</v>
      </c>
      <c r="G131" s="76">
        <v>1038500000</v>
      </c>
      <c r="H131" s="76">
        <v>500000000</v>
      </c>
      <c r="I131" s="76">
        <v>0</v>
      </c>
      <c r="J131" s="76">
        <v>167000000</v>
      </c>
      <c r="K131" s="76">
        <v>23000000</v>
      </c>
      <c r="L131" s="76">
        <v>0</v>
      </c>
      <c r="M131" s="76">
        <v>91000000</v>
      </c>
      <c r="N131" s="76">
        <v>56000000</v>
      </c>
      <c r="O131" s="76">
        <v>70000000</v>
      </c>
      <c r="P131" s="76">
        <v>211000000.00000003</v>
      </c>
      <c r="Q131" s="73">
        <v>20000000</v>
      </c>
      <c r="S131" s="40"/>
      <c r="AJ131" s="40"/>
      <c r="AR131" s="40"/>
    </row>
    <row r="132" spans="1:44">
      <c r="A132" s="75">
        <v>40288</v>
      </c>
      <c r="B132" s="120">
        <v>0</v>
      </c>
      <c r="C132" s="76">
        <v>0</v>
      </c>
      <c r="D132" s="76">
        <v>0</v>
      </c>
      <c r="E132" s="76">
        <v>409189972.6665988</v>
      </c>
      <c r="F132" s="76">
        <v>1698999999.9999998</v>
      </c>
      <c r="G132" s="76">
        <v>1038500000</v>
      </c>
      <c r="H132" s="76">
        <v>500000000</v>
      </c>
      <c r="I132" s="76">
        <v>0</v>
      </c>
      <c r="J132" s="76">
        <v>167000000</v>
      </c>
      <c r="K132" s="76">
        <v>23000000</v>
      </c>
      <c r="L132" s="76">
        <v>0</v>
      </c>
      <c r="M132" s="76">
        <v>91000000</v>
      </c>
      <c r="N132" s="76">
        <v>56000000</v>
      </c>
      <c r="O132" s="76">
        <v>70000000</v>
      </c>
      <c r="P132" s="76">
        <v>211000000.00000003</v>
      </c>
      <c r="Q132" s="73">
        <v>20000000</v>
      </c>
      <c r="S132" s="40"/>
      <c r="AJ132" s="40"/>
      <c r="AR132" s="40"/>
    </row>
    <row r="133" spans="1:44">
      <c r="A133" s="75">
        <v>40318</v>
      </c>
      <c r="B133" s="120">
        <v>0</v>
      </c>
      <c r="C133" s="76">
        <v>0</v>
      </c>
      <c r="D133" s="76">
        <v>0</v>
      </c>
      <c r="E133" s="76">
        <v>115235659.70234725</v>
      </c>
      <c r="F133" s="76">
        <v>1698999999.9999998</v>
      </c>
      <c r="G133" s="76">
        <v>1038500000</v>
      </c>
      <c r="H133" s="76">
        <v>500000000</v>
      </c>
      <c r="I133" s="76">
        <v>0</v>
      </c>
      <c r="J133" s="76">
        <v>167000000</v>
      </c>
      <c r="K133" s="76">
        <v>23000000</v>
      </c>
      <c r="L133" s="76">
        <v>0</v>
      </c>
      <c r="M133" s="76">
        <v>91000000</v>
      </c>
      <c r="N133" s="76">
        <v>56000000</v>
      </c>
      <c r="O133" s="76">
        <v>70000000</v>
      </c>
      <c r="P133" s="76">
        <v>211000000.00000003</v>
      </c>
      <c r="Q133" s="73">
        <v>20000000</v>
      </c>
      <c r="S133" s="40"/>
      <c r="AJ133" s="40"/>
      <c r="AR133" s="40"/>
    </row>
    <row r="134" spans="1:44">
      <c r="A134" s="75">
        <v>40349</v>
      </c>
      <c r="B134" s="120">
        <v>0</v>
      </c>
      <c r="C134" s="76">
        <v>0</v>
      </c>
      <c r="D134" s="76">
        <v>0</v>
      </c>
      <c r="E134" s="76">
        <v>115235659.70234725</v>
      </c>
      <c r="F134" s="76">
        <v>1698999999.9999998</v>
      </c>
      <c r="G134" s="76">
        <v>1038500000</v>
      </c>
      <c r="H134" s="76">
        <v>500000000</v>
      </c>
      <c r="I134" s="76">
        <v>0</v>
      </c>
      <c r="J134" s="76">
        <v>167000000</v>
      </c>
      <c r="K134" s="76">
        <v>23000000</v>
      </c>
      <c r="L134" s="76">
        <v>0</v>
      </c>
      <c r="M134" s="76">
        <v>91000000</v>
      </c>
      <c r="N134" s="76">
        <v>56000000</v>
      </c>
      <c r="O134" s="76">
        <v>70000000</v>
      </c>
      <c r="P134" s="76">
        <v>211000000.00000003</v>
      </c>
      <c r="Q134" s="73">
        <v>20000000</v>
      </c>
      <c r="S134" s="40"/>
      <c r="AJ134" s="40"/>
      <c r="AR134" s="40"/>
    </row>
    <row r="135" spans="1:44">
      <c r="A135" s="75">
        <v>40379</v>
      </c>
      <c r="B135" s="120">
        <v>0</v>
      </c>
      <c r="C135" s="76">
        <v>0</v>
      </c>
      <c r="D135" s="76">
        <v>0</v>
      </c>
      <c r="E135" s="76">
        <v>115235659.70234725</v>
      </c>
      <c r="F135" s="76">
        <v>1698999999.9999998</v>
      </c>
      <c r="G135" s="76">
        <v>1038500000</v>
      </c>
      <c r="H135" s="76">
        <v>500000000</v>
      </c>
      <c r="I135" s="76">
        <v>0</v>
      </c>
      <c r="J135" s="76">
        <v>167000000</v>
      </c>
      <c r="K135" s="76">
        <v>23000000</v>
      </c>
      <c r="L135" s="76">
        <v>0</v>
      </c>
      <c r="M135" s="76">
        <v>91000000</v>
      </c>
      <c r="N135" s="76">
        <v>56000000</v>
      </c>
      <c r="O135" s="76">
        <v>70000000</v>
      </c>
      <c r="P135" s="76">
        <v>211000000.00000003</v>
      </c>
      <c r="Q135" s="73">
        <v>20000000</v>
      </c>
      <c r="S135" s="40"/>
      <c r="AJ135" s="40"/>
      <c r="AR135" s="40"/>
    </row>
    <row r="136" spans="1:44">
      <c r="A136" s="75">
        <v>40410</v>
      </c>
      <c r="B136" s="120">
        <v>0</v>
      </c>
      <c r="C136" s="76">
        <v>0</v>
      </c>
      <c r="D136" s="76">
        <v>0</v>
      </c>
      <c r="E136" s="76">
        <v>0</v>
      </c>
      <c r="F136" s="76">
        <v>1571285028.6544149</v>
      </c>
      <c r="G136" s="76">
        <v>1038500000</v>
      </c>
      <c r="H136" s="76">
        <v>500000000</v>
      </c>
      <c r="I136" s="76">
        <v>0</v>
      </c>
      <c r="J136" s="76">
        <v>167000000</v>
      </c>
      <c r="K136" s="76">
        <v>23000000</v>
      </c>
      <c r="L136" s="76">
        <v>0</v>
      </c>
      <c r="M136" s="76">
        <v>91000000</v>
      </c>
      <c r="N136" s="76">
        <v>56000000</v>
      </c>
      <c r="O136" s="76">
        <v>70000000</v>
      </c>
      <c r="P136" s="76">
        <v>211000000.00000003</v>
      </c>
      <c r="Q136" s="73">
        <v>20000000</v>
      </c>
      <c r="S136" s="40"/>
      <c r="AJ136" s="40"/>
      <c r="AR136" s="40"/>
    </row>
    <row r="137" spans="1:44">
      <c r="A137" s="75">
        <v>40441</v>
      </c>
      <c r="B137" s="120">
        <v>0</v>
      </c>
      <c r="C137" s="76">
        <v>0</v>
      </c>
      <c r="D137" s="76">
        <v>0</v>
      </c>
      <c r="E137" s="76">
        <v>0</v>
      </c>
      <c r="F137" s="76">
        <v>1571285028.6544149</v>
      </c>
      <c r="G137" s="76">
        <v>1038500000</v>
      </c>
      <c r="H137" s="76">
        <v>500000000</v>
      </c>
      <c r="I137" s="76">
        <v>0</v>
      </c>
      <c r="J137" s="76">
        <v>167000000</v>
      </c>
      <c r="K137" s="76">
        <v>23000000</v>
      </c>
      <c r="L137" s="76">
        <v>0</v>
      </c>
      <c r="M137" s="76">
        <v>91000000</v>
      </c>
      <c r="N137" s="76">
        <v>56000000</v>
      </c>
      <c r="O137" s="76">
        <v>70000000</v>
      </c>
      <c r="P137" s="76">
        <v>211000000.00000003</v>
      </c>
      <c r="Q137" s="73">
        <v>20000000</v>
      </c>
      <c r="S137" s="40"/>
      <c r="AJ137" s="40"/>
      <c r="AR137" s="40"/>
    </row>
    <row r="138" spans="1:44">
      <c r="A138" s="75">
        <v>40471</v>
      </c>
      <c r="B138" s="120">
        <v>0</v>
      </c>
      <c r="C138" s="76">
        <v>0</v>
      </c>
      <c r="D138" s="76">
        <v>0</v>
      </c>
      <c r="E138" s="76">
        <v>0</v>
      </c>
      <c r="F138" s="76">
        <v>1571285028.6544149</v>
      </c>
      <c r="G138" s="76">
        <v>1038500000</v>
      </c>
      <c r="H138" s="76">
        <v>500000000</v>
      </c>
      <c r="I138" s="76">
        <v>0</v>
      </c>
      <c r="J138" s="76">
        <v>167000000</v>
      </c>
      <c r="K138" s="76">
        <v>23000000</v>
      </c>
      <c r="L138" s="76">
        <v>0</v>
      </c>
      <c r="M138" s="76">
        <v>91000000</v>
      </c>
      <c r="N138" s="76">
        <v>56000000</v>
      </c>
      <c r="O138" s="76">
        <v>70000000</v>
      </c>
      <c r="P138" s="76">
        <v>211000000.00000003</v>
      </c>
      <c r="Q138" s="73">
        <v>20000000</v>
      </c>
      <c r="S138" s="40"/>
      <c r="AJ138" s="40"/>
      <c r="AR138" s="40"/>
    </row>
    <row r="139" spans="1:44">
      <c r="A139" s="75">
        <v>40504</v>
      </c>
      <c r="B139" s="120">
        <v>0</v>
      </c>
      <c r="C139" s="76">
        <v>0</v>
      </c>
      <c r="D139" s="76">
        <v>0</v>
      </c>
      <c r="E139" s="76">
        <v>0</v>
      </c>
      <c r="F139" s="76">
        <v>1364987272.5130064</v>
      </c>
      <c r="G139" s="76">
        <v>1038500000</v>
      </c>
      <c r="H139" s="76">
        <v>500000000</v>
      </c>
      <c r="I139" s="76">
        <v>0</v>
      </c>
      <c r="J139" s="76">
        <v>167000000</v>
      </c>
      <c r="K139" s="76">
        <v>23000000</v>
      </c>
      <c r="L139" s="76">
        <v>0</v>
      </c>
      <c r="M139" s="76">
        <v>91000000</v>
      </c>
      <c r="N139" s="76">
        <v>56000000</v>
      </c>
      <c r="O139" s="76">
        <v>70000000</v>
      </c>
      <c r="P139" s="76">
        <v>211000000.00000003</v>
      </c>
      <c r="Q139" s="73">
        <v>20000000</v>
      </c>
      <c r="S139" s="40"/>
      <c r="AJ139" s="40"/>
      <c r="AR139" s="40"/>
    </row>
    <row r="140" spans="1:44">
      <c r="A140" s="75">
        <v>40532</v>
      </c>
      <c r="B140" s="120">
        <v>0</v>
      </c>
      <c r="C140" s="76">
        <v>0</v>
      </c>
      <c r="D140" s="76">
        <v>0</v>
      </c>
      <c r="E140" s="76">
        <v>0</v>
      </c>
      <c r="F140" s="76">
        <v>1364987272.5130064</v>
      </c>
      <c r="G140" s="76">
        <v>1038500000</v>
      </c>
      <c r="H140" s="76">
        <v>500000000</v>
      </c>
      <c r="I140" s="76">
        <v>0</v>
      </c>
      <c r="J140" s="76">
        <v>167000000</v>
      </c>
      <c r="K140" s="76">
        <v>23000000</v>
      </c>
      <c r="L140" s="76">
        <v>0</v>
      </c>
      <c r="M140" s="76">
        <v>91000000</v>
      </c>
      <c r="N140" s="76">
        <v>56000000</v>
      </c>
      <c r="O140" s="76">
        <v>70000000</v>
      </c>
      <c r="P140" s="76">
        <v>211000000.00000003</v>
      </c>
      <c r="Q140" s="73">
        <v>20000000</v>
      </c>
      <c r="S140" s="40"/>
      <c r="AJ140" s="40"/>
      <c r="AR140" s="40"/>
    </row>
    <row r="141" spans="1:44">
      <c r="A141" s="75">
        <v>40563</v>
      </c>
      <c r="B141" s="120">
        <v>0</v>
      </c>
      <c r="C141" s="76">
        <v>0</v>
      </c>
      <c r="D141" s="76">
        <v>0</v>
      </c>
      <c r="E141" s="76">
        <v>0</v>
      </c>
      <c r="F141" s="76">
        <v>1364987272.5130064</v>
      </c>
      <c r="G141" s="76">
        <v>1038500000</v>
      </c>
      <c r="H141" s="76">
        <v>500000000</v>
      </c>
      <c r="I141" s="76">
        <v>0</v>
      </c>
      <c r="J141" s="76">
        <v>167000000</v>
      </c>
      <c r="K141" s="76">
        <v>23000000</v>
      </c>
      <c r="L141" s="76">
        <v>0</v>
      </c>
      <c r="M141" s="76">
        <v>91000000</v>
      </c>
      <c r="N141" s="76">
        <v>56000000</v>
      </c>
      <c r="O141" s="76">
        <v>70000000</v>
      </c>
      <c r="P141" s="76">
        <v>211000000.00000003</v>
      </c>
      <c r="Q141" s="73">
        <v>20000000</v>
      </c>
      <c r="S141" s="40"/>
      <c r="AJ141" s="40"/>
      <c r="AR141" s="40"/>
    </row>
    <row r="142" spans="1:44">
      <c r="A142" s="75">
        <v>40596</v>
      </c>
      <c r="B142" s="120">
        <v>0</v>
      </c>
      <c r="C142" s="76">
        <v>0</v>
      </c>
      <c r="D142" s="76">
        <v>0</v>
      </c>
      <c r="E142" s="76">
        <v>0</v>
      </c>
      <c r="F142" s="76">
        <v>1169882900.6860857</v>
      </c>
      <c r="G142" s="76">
        <v>1038500000</v>
      </c>
      <c r="H142" s="76">
        <v>500000000</v>
      </c>
      <c r="I142" s="76">
        <v>0</v>
      </c>
      <c r="J142" s="76">
        <v>167000000</v>
      </c>
      <c r="K142" s="76">
        <v>23000000</v>
      </c>
      <c r="L142" s="76">
        <v>0</v>
      </c>
      <c r="M142" s="76">
        <v>91000000</v>
      </c>
      <c r="N142" s="76">
        <v>56000000</v>
      </c>
      <c r="O142" s="76">
        <v>70000000</v>
      </c>
      <c r="P142" s="76">
        <v>211000000.00000003</v>
      </c>
      <c r="Q142" s="73">
        <v>20000000</v>
      </c>
      <c r="S142" s="40"/>
      <c r="AJ142" s="40"/>
      <c r="AR142" s="40"/>
    </row>
    <row r="143" spans="1:44">
      <c r="A143" s="75">
        <v>40622</v>
      </c>
      <c r="B143" s="120">
        <v>0</v>
      </c>
      <c r="C143" s="76">
        <v>0</v>
      </c>
      <c r="D143" s="76">
        <v>0</v>
      </c>
      <c r="E143" s="76">
        <v>0</v>
      </c>
      <c r="F143" s="76">
        <v>1169882900.6860857</v>
      </c>
      <c r="G143" s="76">
        <v>1038500000</v>
      </c>
      <c r="H143" s="76">
        <v>500000000</v>
      </c>
      <c r="I143" s="76">
        <v>0</v>
      </c>
      <c r="J143" s="76">
        <v>167000000</v>
      </c>
      <c r="K143" s="76">
        <v>23000000</v>
      </c>
      <c r="L143" s="76">
        <v>0</v>
      </c>
      <c r="M143" s="76">
        <v>91000000</v>
      </c>
      <c r="N143" s="76">
        <v>56000000</v>
      </c>
      <c r="O143" s="76">
        <v>70000000</v>
      </c>
      <c r="P143" s="76">
        <v>211000000.00000003</v>
      </c>
      <c r="Q143" s="73">
        <v>20000000</v>
      </c>
      <c r="S143" s="40"/>
      <c r="AJ143" s="40"/>
      <c r="AR143" s="40"/>
    </row>
    <row r="144" spans="1:44">
      <c r="A144" s="75">
        <v>40653</v>
      </c>
      <c r="B144" s="120">
        <v>0</v>
      </c>
      <c r="C144" s="76">
        <v>0</v>
      </c>
      <c r="D144" s="76">
        <v>0</v>
      </c>
      <c r="E144" s="76">
        <v>0</v>
      </c>
      <c r="F144" s="76">
        <v>1169882900.6860857</v>
      </c>
      <c r="G144" s="76">
        <v>1038500000</v>
      </c>
      <c r="H144" s="76">
        <v>500000000</v>
      </c>
      <c r="I144" s="76">
        <v>0</v>
      </c>
      <c r="J144" s="76">
        <v>167000000</v>
      </c>
      <c r="K144" s="76">
        <v>23000000</v>
      </c>
      <c r="L144" s="76">
        <v>0</v>
      </c>
      <c r="M144" s="76">
        <v>91000000</v>
      </c>
      <c r="N144" s="76">
        <v>56000000</v>
      </c>
      <c r="O144" s="76">
        <v>70000000</v>
      </c>
      <c r="P144" s="76">
        <v>211000000.00000003</v>
      </c>
      <c r="Q144" s="73">
        <v>20000000</v>
      </c>
      <c r="S144" s="40"/>
      <c r="AJ144" s="40"/>
      <c r="AR144" s="40"/>
    </row>
    <row r="145" spans="1:44">
      <c r="A145" s="75">
        <v>40683</v>
      </c>
      <c r="B145" s="120">
        <v>0</v>
      </c>
      <c r="C145" s="76">
        <v>0</v>
      </c>
      <c r="D145" s="76">
        <v>0</v>
      </c>
      <c r="E145" s="76">
        <v>0</v>
      </c>
      <c r="F145" s="76">
        <v>985364578.15093994</v>
      </c>
      <c r="G145" s="76">
        <v>1038500000</v>
      </c>
      <c r="H145" s="76">
        <v>500000000</v>
      </c>
      <c r="I145" s="76">
        <v>0</v>
      </c>
      <c r="J145" s="76">
        <v>167000000</v>
      </c>
      <c r="K145" s="76">
        <v>23000000</v>
      </c>
      <c r="L145" s="76">
        <v>0</v>
      </c>
      <c r="M145" s="76">
        <v>91000000</v>
      </c>
      <c r="N145" s="76">
        <v>56000000</v>
      </c>
      <c r="O145" s="76">
        <v>70000000</v>
      </c>
      <c r="P145" s="76">
        <v>211000000.00000003</v>
      </c>
      <c r="Q145" s="73">
        <v>20000000</v>
      </c>
      <c r="S145" s="40"/>
      <c r="AJ145" s="40"/>
      <c r="AR145" s="40"/>
    </row>
    <row r="146" spans="1:44">
      <c r="A146" s="75">
        <v>40714</v>
      </c>
      <c r="B146" s="120">
        <v>0</v>
      </c>
      <c r="C146" s="76">
        <v>0</v>
      </c>
      <c r="D146" s="76">
        <v>0</v>
      </c>
      <c r="E146" s="76">
        <v>0</v>
      </c>
      <c r="F146" s="76">
        <v>985364578.15093994</v>
      </c>
      <c r="G146" s="76">
        <v>1038500000</v>
      </c>
      <c r="H146" s="76">
        <v>500000000</v>
      </c>
      <c r="I146" s="76">
        <v>0</v>
      </c>
      <c r="J146" s="76">
        <v>167000000</v>
      </c>
      <c r="K146" s="76">
        <v>23000000</v>
      </c>
      <c r="L146" s="76">
        <v>0</v>
      </c>
      <c r="M146" s="76">
        <v>91000000</v>
      </c>
      <c r="N146" s="76">
        <v>56000000</v>
      </c>
      <c r="O146" s="76">
        <v>70000000</v>
      </c>
      <c r="P146" s="76">
        <v>211000000.00000003</v>
      </c>
      <c r="Q146" s="73">
        <v>20000000</v>
      </c>
      <c r="S146" s="40"/>
      <c r="AJ146" s="40"/>
      <c r="AR146" s="40"/>
    </row>
    <row r="147" spans="1:44">
      <c r="A147" s="75">
        <v>40744</v>
      </c>
      <c r="B147" s="120">
        <v>0</v>
      </c>
      <c r="C147" s="76">
        <v>0</v>
      </c>
      <c r="D147" s="76">
        <v>0</v>
      </c>
      <c r="E147" s="76">
        <v>0</v>
      </c>
      <c r="F147" s="76">
        <v>985364578.15093994</v>
      </c>
      <c r="G147" s="76">
        <v>1038500000</v>
      </c>
      <c r="H147" s="76">
        <v>500000000</v>
      </c>
      <c r="I147" s="76">
        <v>0</v>
      </c>
      <c r="J147" s="76">
        <v>167000000</v>
      </c>
      <c r="K147" s="76">
        <v>23000000</v>
      </c>
      <c r="L147" s="76">
        <v>0</v>
      </c>
      <c r="M147" s="76">
        <v>91000000</v>
      </c>
      <c r="N147" s="76">
        <v>56000000</v>
      </c>
      <c r="O147" s="76">
        <v>70000000</v>
      </c>
      <c r="P147" s="76">
        <v>211000000.00000003</v>
      </c>
      <c r="Q147" s="73">
        <v>20000000</v>
      </c>
      <c r="S147" s="40"/>
      <c r="AJ147" s="40"/>
      <c r="AR147" s="40"/>
    </row>
    <row r="148" spans="1:44">
      <c r="A148" s="75">
        <v>40777</v>
      </c>
      <c r="B148" s="120">
        <v>0</v>
      </c>
      <c r="C148" s="76">
        <v>0</v>
      </c>
      <c r="D148" s="76">
        <v>0</v>
      </c>
      <c r="E148" s="76">
        <v>0</v>
      </c>
      <c r="F148" s="76">
        <v>810857922.9059844</v>
      </c>
      <c r="G148" s="76">
        <v>1038500000</v>
      </c>
      <c r="H148" s="76">
        <v>500000000</v>
      </c>
      <c r="I148" s="76">
        <v>0</v>
      </c>
      <c r="J148" s="76">
        <v>167000000</v>
      </c>
      <c r="K148" s="76">
        <v>23000000</v>
      </c>
      <c r="L148" s="76">
        <v>0</v>
      </c>
      <c r="M148" s="76">
        <v>91000000</v>
      </c>
      <c r="N148" s="76">
        <v>56000000</v>
      </c>
      <c r="O148" s="76">
        <v>70000000</v>
      </c>
      <c r="P148" s="76">
        <v>211000000.00000003</v>
      </c>
      <c r="Q148" s="73">
        <v>20000000</v>
      </c>
      <c r="S148" s="40"/>
      <c r="AJ148" s="40"/>
      <c r="AR148" s="40"/>
    </row>
    <row r="149" spans="1:44">
      <c r="A149" s="75">
        <v>40806</v>
      </c>
      <c r="B149" s="120">
        <v>0</v>
      </c>
      <c r="C149" s="76">
        <v>0</v>
      </c>
      <c r="D149" s="76">
        <v>0</v>
      </c>
      <c r="E149" s="76">
        <v>0</v>
      </c>
      <c r="F149" s="76">
        <v>810857922.9059844</v>
      </c>
      <c r="G149" s="76">
        <v>1038500000</v>
      </c>
      <c r="H149" s="76">
        <v>500000000</v>
      </c>
      <c r="I149" s="76">
        <v>0</v>
      </c>
      <c r="J149" s="76">
        <v>167000000</v>
      </c>
      <c r="K149" s="76">
        <v>23000000</v>
      </c>
      <c r="L149" s="76">
        <v>0</v>
      </c>
      <c r="M149" s="76">
        <v>91000000</v>
      </c>
      <c r="N149" s="76">
        <v>56000000</v>
      </c>
      <c r="O149" s="76">
        <v>70000000</v>
      </c>
      <c r="P149" s="76">
        <v>211000000.00000003</v>
      </c>
      <c r="Q149" s="73">
        <v>20000000</v>
      </c>
      <c r="S149" s="40"/>
      <c r="AJ149" s="40"/>
      <c r="AR149" s="40"/>
    </row>
    <row r="150" spans="1:44">
      <c r="A150" s="75">
        <v>40836</v>
      </c>
      <c r="B150" s="120">
        <v>0</v>
      </c>
      <c r="C150" s="76">
        <v>0</v>
      </c>
      <c r="D150" s="76">
        <v>0</v>
      </c>
      <c r="E150" s="76">
        <v>0</v>
      </c>
      <c r="F150" s="76">
        <v>810857922.9059844</v>
      </c>
      <c r="G150" s="76">
        <v>1038500000</v>
      </c>
      <c r="H150" s="76">
        <v>500000000</v>
      </c>
      <c r="I150" s="76">
        <v>0</v>
      </c>
      <c r="J150" s="76">
        <v>167000000</v>
      </c>
      <c r="K150" s="76">
        <v>23000000</v>
      </c>
      <c r="L150" s="76">
        <v>0</v>
      </c>
      <c r="M150" s="76">
        <v>91000000</v>
      </c>
      <c r="N150" s="76">
        <v>56000000</v>
      </c>
      <c r="O150" s="76">
        <v>70000000</v>
      </c>
      <c r="P150" s="76">
        <v>211000000.00000003</v>
      </c>
      <c r="Q150" s="73">
        <v>20000000</v>
      </c>
      <c r="S150" s="40"/>
      <c r="AJ150" s="40"/>
      <c r="AR150" s="40"/>
    </row>
    <row r="151" spans="1:44">
      <c r="A151" s="75">
        <v>40868</v>
      </c>
      <c r="B151" s="186">
        <v>0</v>
      </c>
      <c r="C151" s="77">
        <v>0</v>
      </c>
      <c r="D151" s="77">
        <v>0</v>
      </c>
      <c r="E151" s="904">
        <v>0</v>
      </c>
      <c r="F151" s="904">
        <v>667256146.32221091</v>
      </c>
      <c r="G151" s="76">
        <v>1038500000</v>
      </c>
      <c r="H151" s="216">
        <v>500000000</v>
      </c>
      <c r="I151" s="77">
        <v>0</v>
      </c>
      <c r="J151" s="77">
        <v>137424539.22933337</v>
      </c>
      <c r="K151" s="77">
        <v>18926732.947752502</v>
      </c>
      <c r="L151" s="77">
        <v>0</v>
      </c>
      <c r="M151" s="77">
        <v>74884030.358499035</v>
      </c>
      <c r="N151" s="77">
        <v>46082480.220614791</v>
      </c>
      <c r="O151" s="77">
        <v>57603100.275768481</v>
      </c>
      <c r="P151" s="77">
        <v>173632202.25981644</v>
      </c>
      <c r="Q151" s="905">
        <v>16458028.650219567</v>
      </c>
      <c r="S151" s="40"/>
      <c r="AJ151" s="40"/>
      <c r="AR151" s="40"/>
    </row>
    <row r="152" spans="1:44">
      <c r="A152" s="75">
        <v>40897</v>
      </c>
      <c r="B152" s="120">
        <v>0</v>
      </c>
      <c r="C152" s="76">
        <v>0</v>
      </c>
      <c r="D152" s="76">
        <v>0</v>
      </c>
      <c r="E152" s="76">
        <v>0</v>
      </c>
      <c r="F152" s="76">
        <v>667256146.32221091</v>
      </c>
      <c r="G152" s="76">
        <v>1038500000</v>
      </c>
      <c r="H152" s="76">
        <v>500000000</v>
      </c>
      <c r="I152" s="76">
        <v>0</v>
      </c>
      <c r="J152" s="76">
        <v>137424539.22933337</v>
      </c>
      <c r="K152" s="76">
        <v>18926732.947752502</v>
      </c>
      <c r="L152" s="76">
        <v>0</v>
      </c>
      <c r="M152" s="76">
        <v>74884030.358499035</v>
      </c>
      <c r="N152" s="76">
        <v>46082480.220614791</v>
      </c>
      <c r="O152" s="76">
        <v>57603100.275768481</v>
      </c>
      <c r="P152" s="76">
        <v>173632202.25981644</v>
      </c>
      <c r="Q152" s="73">
        <v>16458028.650219567</v>
      </c>
      <c r="S152" s="40"/>
      <c r="AJ152" s="40"/>
      <c r="AR152" s="40"/>
    </row>
    <row r="153" spans="1:44">
      <c r="A153" s="75">
        <v>40928</v>
      </c>
      <c r="B153" s="120">
        <v>0</v>
      </c>
      <c r="C153" s="76">
        <v>0</v>
      </c>
      <c r="D153" s="76">
        <v>0</v>
      </c>
      <c r="E153" s="76">
        <v>0</v>
      </c>
      <c r="F153" s="76">
        <v>667256146.32221091</v>
      </c>
      <c r="G153" s="76">
        <v>1038500000</v>
      </c>
      <c r="H153" s="76">
        <v>500000000</v>
      </c>
      <c r="I153" s="76">
        <v>0</v>
      </c>
      <c r="J153" s="76">
        <v>137424539.22933337</v>
      </c>
      <c r="K153" s="76">
        <v>18926732.947752502</v>
      </c>
      <c r="L153" s="76">
        <v>0</v>
      </c>
      <c r="M153" s="76">
        <v>74884030.358499035</v>
      </c>
      <c r="N153" s="76">
        <v>46082480.220614791</v>
      </c>
      <c r="O153" s="76">
        <v>57603100.275768481</v>
      </c>
      <c r="P153" s="76">
        <v>173632202.25981644</v>
      </c>
      <c r="Q153" s="73">
        <v>16458028.650219567</v>
      </c>
      <c r="S153" s="40"/>
      <c r="AJ153" s="40"/>
      <c r="AR153" s="40"/>
    </row>
    <row r="154" spans="1:44">
      <c r="A154" s="75">
        <v>40960</v>
      </c>
      <c r="B154" s="120">
        <v>0</v>
      </c>
      <c r="C154" s="76">
        <v>0</v>
      </c>
      <c r="D154" s="76">
        <v>0</v>
      </c>
      <c r="E154" s="76">
        <v>0</v>
      </c>
      <c r="F154" s="76">
        <v>0</v>
      </c>
      <c r="G154" s="76">
        <v>839556783.50718832</v>
      </c>
      <c r="H154" s="76">
        <v>500000000</v>
      </c>
      <c r="I154" s="76">
        <v>0</v>
      </c>
      <c r="J154" s="76">
        <v>0</v>
      </c>
      <c r="K154" s="76">
        <v>0</v>
      </c>
      <c r="L154" s="76">
        <v>0</v>
      </c>
      <c r="M154" s="76">
        <v>0</v>
      </c>
      <c r="N154" s="76">
        <v>0</v>
      </c>
      <c r="O154" s="76">
        <v>0</v>
      </c>
      <c r="P154" s="76">
        <v>0</v>
      </c>
      <c r="Q154" s="73">
        <v>0</v>
      </c>
      <c r="S154" s="40"/>
      <c r="AJ154" s="40"/>
      <c r="AR154" s="40"/>
    </row>
    <row r="155" spans="1:44">
      <c r="A155" s="75">
        <v>40988</v>
      </c>
      <c r="B155" s="120">
        <v>0</v>
      </c>
      <c r="C155" s="76">
        <v>0</v>
      </c>
      <c r="D155" s="76">
        <v>0</v>
      </c>
      <c r="E155" s="76">
        <v>0</v>
      </c>
      <c r="F155" s="76">
        <v>0</v>
      </c>
      <c r="G155" s="76">
        <v>839556783.50718832</v>
      </c>
      <c r="H155" s="76">
        <v>500000000</v>
      </c>
      <c r="I155" s="76">
        <v>0</v>
      </c>
      <c r="J155" s="76">
        <v>0</v>
      </c>
      <c r="K155" s="76">
        <v>0</v>
      </c>
      <c r="L155" s="76">
        <v>0</v>
      </c>
      <c r="M155" s="76">
        <v>0</v>
      </c>
      <c r="N155" s="76">
        <v>0</v>
      </c>
      <c r="O155" s="76">
        <v>0</v>
      </c>
      <c r="P155" s="76">
        <v>0</v>
      </c>
      <c r="Q155" s="73">
        <v>0</v>
      </c>
      <c r="S155" s="40"/>
      <c r="AJ155" s="40"/>
      <c r="AR155" s="40"/>
    </row>
    <row r="156" spans="1:44">
      <c r="A156" s="75">
        <v>41019</v>
      </c>
      <c r="B156" s="120">
        <v>0</v>
      </c>
      <c r="C156" s="76">
        <v>0</v>
      </c>
      <c r="D156" s="76">
        <v>0</v>
      </c>
      <c r="E156" s="76">
        <v>0</v>
      </c>
      <c r="F156" s="76">
        <v>0</v>
      </c>
      <c r="G156" s="76">
        <v>839556783.50718832</v>
      </c>
      <c r="H156" s="76">
        <v>500000000</v>
      </c>
      <c r="I156" s="76">
        <v>0</v>
      </c>
      <c r="J156" s="76">
        <v>0</v>
      </c>
      <c r="K156" s="76">
        <v>0</v>
      </c>
      <c r="L156" s="76">
        <v>0</v>
      </c>
      <c r="M156" s="76">
        <v>0</v>
      </c>
      <c r="N156" s="76">
        <v>0</v>
      </c>
      <c r="O156" s="76">
        <v>0</v>
      </c>
      <c r="P156" s="76">
        <v>0</v>
      </c>
      <c r="Q156" s="73">
        <v>0</v>
      </c>
      <c r="S156" s="40"/>
      <c r="AJ156" s="40"/>
      <c r="AR156" s="40"/>
    </row>
    <row r="157" spans="1:44">
      <c r="A157" s="75">
        <v>41050</v>
      </c>
      <c r="B157" s="120">
        <v>0</v>
      </c>
      <c r="C157" s="76">
        <v>0</v>
      </c>
      <c r="D157" s="76">
        <v>0</v>
      </c>
      <c r="E157" s="76">
        <v>0</v>
      </c>
      <c r="F157" s="76">
        <v>0</v>
      </c>
      <c r="G157" s="76">
        <v>651407905.84100938</v>
      </c>
      <c r="H157" s="76">
        <v>500000000</v>
      </c>
      <c r="I157" s="76">
        <v>0</v>
      </c>
      <c r="J157" s="76">
        <v>0</v>
      </c>
      <c r="K157" s="76">
        <v>0</v>
      </c>
      <c r="L157" s="76">
        <v>0</v>
      </c>
      <c r="M157" s="76">
        <v>0</v>
      </c>
      <c r="N157" s="76">
        <v>0</v>
      </c>
      <c r="O157" s="76">
        <v>0</v>
      </c>
      <c r="P157" s="76">
        <v>0</v>
      </c>
      <c r="Q157" s="73">
        <v>0</v>
      </c>
      <c r="S157" s="40"/>
      <c r="AJ157" s="40"/>
      <c r="AR157" s="40"/>
    </row>
    <row r="158" spans="1:44">
      <c r="A158" s="75">
        <v>41080</v>
      </c>
      <c r="B158" s="120">
        <v>0</v>
      </c>
      <c r="C158" s="76">
        <v>0</v>
      </c>
      <c r="D158" s="76">
        <v>0</v>
      </c>
      <c r="E158" s="76">
        <v>0</v>
      </c>
      <c r="F158" s="76">
        <v>0</v>
      </c>
      <c r="G158" s="76">
        <v>651407905.84100938</v>
      </c>
      <c r="H158" s="76">
        <v>500000000</v>
      </c>
      <c r="I158" s="76">
        <v>0</v>
      </c>
      <c r="J158" s="76">
        <v>0</v>
      </c>
      <c r="K158" s="76">
        <v>0</v>
      </c>
      <c r="L158" s="76">
        <v>0</v>
      </c>
      <c r="M158" s="76">
        <v>0</v>
      </c>
      <c r="N158" s="76">
        <v>0</v>
      </c>
      <c r="O158" s="76">
        <v>0</v>
      </c>
      <c r="P158" s="76">
        <v>0</v>
      </c>
      <c r="Q158" s="73">
        <v>0</v>
      </c>
      <c r="S158" s="40"/>
      <c r="AJ158" s="40"/>
      <c r="AR158" s="40"/>
    </row>
    <row r="159" spans="1:44">
      <c r="A159" s="75">
        <v>41110</v>
      </c>
      <c r="B159" s="120">
        <v>0</v>
      </c>
      <c r="C159" s="76">
        <v>0</v>
      </c>
      <c r="D159" s="76">
        <v>0</v>
      </c>
      <c r="E159" s="76">
        <v>0</v>
      </c>
      <c r="F159" s="76">
        <v>0</v>
      </c>
      <c r="G159" s="76">
        <v>651407905.84100938</v>
      </c>
      <c r="H159" s="76">
        <v>500000000</v>
      </c>
      <c r="I159" s="76">
        <v>0</v>
      </c>
      <c r="J159" s="76">
        <v>0</v>
      </c>
      <c r="K159" s="76">
        <v>0</v>
      </c>
      <c r="L159" s="76">
        <v>0</v>
      </c>
      <c r="M159" s="76">
        <v>0</v>
      </c>
      <c r="N159" s="76">
        <v>0</v>
      </c>
      <c r="O159" s="76">
        <v>0</v>
      </c>
      <c r="P159" s="76">
        <v>0</v>
      </c>
      <c r="Q159" s="73">
        <v>0</v>
      </c>
      <c r="S159" s="40"/>
      <c r="AJ159" s="40"/>
      <c r="AR159" s="40"/>
    </row>
    <row r="160" spans="1:44">
      <c r="A160" s="75">
        <v>41141</v>
      </c>
      <c r="B160" s="120">
        <v>0</v>
      </c>
      <c r="C160" s="76">
        <v>0</v>
      </c>
      <c r="D160" s="76">
        <v>0</v>
      </c>
      <c r="E160" s="76">
        <v>0</v>
      </c>
      <c r="F160" s="76">
        <v>0</v>
      </c>
      <c r="G160" s="76">
        <v>473467683.54485565</v>
      </c>
      <c r="H160" s="76">
        <v>500000000</v>
      </c>
      <c r="I160" s="76">
        <v>0</v>
      </c>
      <c r="J160" s="76">
        <v>0</v>
      </c>
      <c r="K160" s="76">
        <v>0</v>
      </c>
      <c r="L160" s="76">
        <v>0</v>
      </c>
      <c r="M160" s="76">
        <v>0</v>
      </c>
      <c r="N160" s="76">
        <v>0</v>
      </c>
      <c r="O160" s="76">
        <v>0</v>
      </c>
      <c r="P160" s="76">
        <v>0</v>
      </c>
      <c r="Q160" s="73">
        <v>0</v>
      </c>
      <c r="S160" s="40"/>
      <c r="AJ160" s="40"/>
      <c r="AR160" s="40"/>
    </row>
    <row r="161" spans="1:44">
      <c r="A161" s="75">
        <v>41172</v>
      </c>
      <c r="B161" s="120">
        <v>0</v>
      </c>
      <c r="C161" s="76">
        <v>0</v>
      </c>
      <c r="D161" s="76">
        <v>0</v>
      </c>
      <c r="E161" s="76">
        <v>0</v>
      </c>
      <c r="F161" s="76">
        <v>0</v>
      </c>
      <c r="G161" s="76">
        <v>473467683.54485565</v>
      </c>
      <c r="H161" s="76">
        <v>500000000</v>
      </c>
      <c r="I161" s="76">
        <v>0</v>
      </c>
      <c r="J161" s="76">
        <v>0</v>
      </c>
      <c r="K161" s="76">
        <v>0</v>
      </c>
      <c r="L161" s="76">
        <v>0</v>
      </c>
      <c r="M161" s="76">
        <v>0</v>
      </c>
      <c r="N161" s="76">
        <v>0</v>
      </c>
      <c r="O161" s="76">
        <v>0</v>
      </c>
      <c r="P161" s="76">
        <v>0</v>
      </c>
      <c r="Q161" s="73">
        <v>0</v>
      </c>
      <c r="S161" s="40"/>
      <c r="AJ161" s="40"/>
      <c r="AR161" s="40"/>
    </row>
    <row r="162" spans="1:44">
      <c r="A162" s="75">
        <v>41202</v>
      </c>
      <c r="B162" s="120">
        <v>0</v>
      </c>
      <c r="C162" s="76">
        <v>0</v>
      </c>
      <c r="D162" s="76">
        <v>0</v>
      </c>
      <c r="E162" s="76">
        <v>0</v>
      </c>
      <c r="F162" s="76">
        <v>0</v>
      </c>
      <c r="G162" s="76">
        <v>473467683.54485565</v>
      </c>
      <c r="H162" s="76">
        <v>500000000</v>
      </c>
      <c r="I162" s="76">
        <v>0</v>
      </c>
      <c r="J162" s="76">
        <v>0</v>
      </c>
      <c r="K162" s="76">
        <v>0</v>
      </c>
      <c r="L162" s="76">
        <v>0</v>
      </c>
      <c r="M162" s="76">
        <v>0</v>
      </c>
      <c r="N162" s="76">
        <v>0</v>
      </c>
      <c r="O162" s="76">
        <v>0</v>
      </c>
      <c r="P162" s="76">
        <v>0</v>
      </c>
      <c r="Q162" s="73">
        <v>0</v>
      </c>
      <c r="S162" s="40"/>
      <c r="AJ162" s="40"/>
      <c r="AR162" s="40"/>
    </row>
    <row r="163" spans="1:44">
      <c r="A163" s="75">
        <v>41233</v>
      </c>
      <c r="B163" s="120">
        <v>0</v>
      </c>
      <c r="C163" s="76">
        <v>0</v>
      </c>
      <c r="D163" s="76">
        <v>0</v>
      </c>
      <c r="E163" s="76">
        <v>0</v>
      </c>
      <c r="F163" s="76">
        <v>0</v>
      </c>
      <c r="G163" s="76">
        <v>305182211.40410846</v>
      </c>
      <c r="H163" s="76">
        <v>500000000</v>
      </c>
      <c r="I163" s="76">
        <v>0</v>
      </c>
      <c r="J163" s="76">
        <v>0</v>
      </c>
      <c r="K163" s="76">
        <v>0</v>
      </c>
      <c r="L163" s="76">
        <v>0</v>
      </c>
      <c r="M163" s="76">
        <v>0</v>
      </c>
      <c r="N163" s="76">
        <v>0</v>
      </c>
      <c r="O163" s="76">
        <v>0</v>
      </c>
      <c r="P163" s="76">
        <v>0</v>
      </c>
      <c r="Q163" s="73">
        <v>0</v>
      </c>
      <c r="S163" s="40"/>
      <c r="AJ163" s="40"/>
      <c r="AR163" s="40"/>
    </row>
    <row r="164" spans="1:44">
      <c r="A164" s="75">
        <v>41263</v>
      </c>
      <c r="B164" s="120">
        <v>0</v>
      </c>
      <c r="C164" s="76">
        <v>0</v>
      </c>
      <c r="D164" s="76">
        <v>0</v>
      </c>
      <c r="E164" s="76">
        <v>0</v>
      </c>
      <c r="F164" s="76">
        <v>0</v>
      </c>
      <c r="G164" s="76">
        <v>305182211.40410846</v>
      </c>
      <c r="H164" s="76">
        <v>500000000</v>
      </c>
      <c r="I164" s="76">
        <v>0</v>
      </c>
      <c r="J164" s="76">
        <v>0</v>
      </c>
      <c r="K164" s="76">
        <v>0</v>
      </c>
      <c r="L164" s="76">
        <v>0</v>
      </c>
      <c r="M164" s="76">
        <v>0</v>
      </c>
      <c r="N164" s="76">
        <v>0</v>
      </c>
      <c r="O164" s="76">
        <v>0</v>
      </c>
      <c r="P164" s="76">
        <v>0</v>
      </c>
      <c r="Q164" s="73">
        <v>0</v>
      </c>
      <c r="S164" s="40"/>
      <c r="AJ164" s="40"/>
      <c r="AR164" s="40"/>
    </row>
    <row r="165" spans="1:44">
      <c r="A165" s="75">
        <v>41294</v>
      </c>
      <c r="B165" s="120">
        <v>0</v>
      </c>
      <c r="C165" s="76">
        <v>0</v>
      </c>
      <c r="D165" s="76">
        <v>0</v>
      </c>
      <c r="E165" s="76">
        <v>0</v>
      </c>
      <c r="F165" s="76">
        <v>0</v>
      </c>
      <c r="G165" s="76">
        <v>305182211.40410846</v>
      </c>
      <c r="H165" s="76">
        <v>500000000</v>
      </c>
      <c r="I165" s="76">
        <v>0</v>
      </c>
      <c r="J165" s="76">
        <v>0</v>
      </c>
      <c r="K165" s="76">
        <v>0</v>
      </c>
      <c r="L165" s="76">
        <v>0</v>
      </c>
      <c r="M165" s="76">
        <v>0</v>
      </c>
      <c r="N165" s="76">
        <v>0</v>
      </c>
      <c r="O165" s="76">
        <v>0</v>
      </c>
      <c r="P165" s="76">
        <v>0</v>
      </c>
      <c r="Q165" s="73">
        <v>0</v>
      </c>
      <c r="S165" s="40"/>
      <c r="AJ165" s="40"/>
      <c r="AR165" s="40"/>
    </row>
    <row r="166" spans="1:44">
      <c r="A166" s="75">
        <v>41325</v>
      </c>
      <c r="B166" s="120">
        <v>0</v>
      </c>
      <c r="C166" s="76">
        <v>0</v>
      </c>
      <c r="D166" s="76">
        <v>0</v>
      </c>
      <c r="E166" s="76">
        <v>0</v>
      </c>
      <c r="F166" s="76">
        <v>0</v>
      </c>
      <c r="G166" s="76">
        <v>146027638.20985916</v>
      </c>
      <c r="H166" s="76">
        <v>500000000</v>
      </c>
      <c r="I166" s="76">
        <v>0</v>
      </c>
      <c r="J166" s="76">
        <v>0</v>
      </c>
      <c r="K166" s="76">
        <v>0</v>
      </c>
      <c r="L166" s="76">
        <v>0</v>
      </c>
      <c r="M166" s="76">
        <v>0</v>
      </c>
      <c r="N166" s="76">
        <v>0</v>
      </c>
      <c r="O166" s="76">
        <v>0</v>
      </c>
      <c r="P166" s="76">
        <v>0</v>
      </c>
      <c r="Q166" s="73">
        <v>0</v>
      </c>
      <c r="S166" s="40"/>
      <c r="AJ166" s="40"/>
      <c r="AR166" s="40"/>
    </row>
    <row r="167" spans="1:44">
      <c r="A167" s="75">
        <v>41353</v>
      </c>
      <c r="B167" s="120">
        <v>0</v>
      </c>
      <c r="C167" s="76">
        <v>0</v>
      </c>
      <c r="D167" s="76">
        <v>0</v>
      </c>
      <c r="E167" s="76">
        <v>0</v>
      </c>
      <c r="F167" s="76">
        <v>0</v>
      </c>
      <c r="G167" s="76">
        <v>146027638.20985916</v>
      </c>
      <c r="H167" s="76">
        <v>500000000</v>
      </c>
      <c r="I167" s="76">
        <v>0</v>
      </c>
      <c r="J167" s="76">
        <v>0</v>
      </c>
      <c r="K167" s="76">
        <v>0</v>
      </c>
      <c r="L167" s="76">
        <v>0</v>
      </c>
      <c r="M167" s="76">
        <v>0</v>
      </c>
      <c r="N167" s="76">
        <v>0</v>
      </c>
      <c r="O167" s="76">
        <v>0</v>
      </c>
      <c r="P167" s="76">
        <v>0</v>
      </c>
      <c r="Q167" s="73">
        <v>0</v>
      </c>
      <c r="S167" s="40"/>
      <c r="AJ167" s="40"/>
      <c r="AR167" s="40"/>
    </row>
    <row r="168" spans="1:44">
      <c r="A168" s="75">
        <v>41384</v>
      </c>
      <c r="B168" s="120">
        <v>0</v>
      </c>
      <c r="C168" s="76">
        <v>0</v>
      </c>
      <c r="D168" s="76">
        <v>0</v>
      </c>
      <c r="E168" s="76">
        <v>0</v>
      </c>
      <c r="F168" s="76">
        <v>0</v>
      </c>
      <c r="G168" s="904">
        <v>146027638.20985916</v>
      </c>
      <c r="H168" s="904">
        <v>500000000</v>
      </c>
      <c r="I168" s="76">
        <v>0</v>
      </c>
      <c r="J168" s="76">
        <v>0</v>
      </c>
      <c r="K168" s="76">
        <v>0</v>
      </c>
      <c r="L168" s="76">
        <v>0</v>
      </c>
      <c r="M168" s="76">
        <v>0</v>
      </c>
      <c r="N168" s="76">
        <v>0</v>
      </c>
      <c r="O168" s="76">
        <v>0</v>
      </c>
      <c r="P168" s="76">
        <v>0</v>
      </c>
      <c r="Q168" s="73">
        <v>0</v>
      </c>
      <c r="S168" s="40"/>
      <c r="AJ168" s="40"/>
      <c r="AR168" s="40"/>
    </row>
    <row r="169" spans="1:44">
      <c r="A169" s="75">
        <v>41414</v>
      </c>
      <c r="B169" s="120">
        <v>0</v>
      </c>
      <c r="C169" s="76">
        <v>0</v>
      </c>
      <c r="D169" s="76">
        <v>0</v>
      </c>
      <c r="E169" s="76">
        <v>0</v>
      </c>
      <c r="F169" s="216">
        <v>0</v>
      </c>
      <c r="G169" s="216">
        <v>0</v>
      </c>
      <c r="H169" s="76">
        <v>498066311.06189919</v>
      </c>
      <c r="I169" s="76">
        <v>0</v>
      </c>
      <c r="J169" s="76">
        <v>0</v>
      </c>
      <c r="K169" s="76">
        <v>0</v>
      </c>
      <c r="L169" s="76">
        <v>0</v>
      </c>
      <c r="M169" s="76">
        <v>0</v>
      </c>
      <c r="N169" s="76">
        <v>0</v>
      </c>
      <c r="O169" s="76">
        <v>0</v>
      </c>
      <c r="P169" s="76">
        <v>0</v>
      </c>
      <c r="Q169" s="73">
        <v>0</v>
      </c>
      <c r="S169" s="40"/>
      <c r="AJ169" s="40"/>
      <c r="AR169" s="40"/>
    </row>
    <row r="170" spans="1:44">
      <c r="A170" s="75">
        <v>41445</v>
      </c>
      <c r="B170" s="120">
        <v>0</v>
      </c>
      <c r="C170" s="76">
        <v>0</v>
      </c>
      <c r="D170" s="76">
        <v>0</v>
      </c>
      <c r="E170" s="76">
        <v>0</v>
      </c>
      <c r="F170" s="76">
        <v>0</v>
      </c>
      <c r="G170" s="76">
        <v>0</v>
      </c>
      <c r="H170" s="76">
        <v>498066311.06189919</v>
      </c>
      <c r="I170" s="76">
        <v>0</v>
      </c>
      <c r="J170" s="76">
        <v>0</v>
      </c>
      <c r="K170" s="76">
        <v>0</v>
      </c>
      <c r="L170" s="76">
        <v>0</v>
      </c>
      <c r="M170" s="76">
        <v>0</v>
      </c>
      <c r="N170" s="76">
        <v>0</v>
      </c>
      <c r="O170" s="76">
        <v>0</v>
      </c>
      <c r="P170" s="76">
        <v>0</v>
      </c>
      <c r="Q170" s="73">
        <v>0</v>
      </c>
      <c r="S170" s="40"/>
      <c r="AJ170" s="40"/>
      <c r="AR170" s="40"/>
    </row>
    <row r="171" spans="1:44">
      <c r="A171" s="75">
        <v>41475</v>
      </c>
      <c r="B171" s="120">
        <v>0</v>
      </c>
      <c r="C171" s="76">
        <v>0</v>
      </c>
      <c r="D171" s="76">
        <v>0</v>
      </c>
      <c r="E171" s="76">
        <v>0</v>
      </c>
      <c r="F171" s="76">
        <v>0</v>
      </c>
      <c r="G171" s="76">
        <v>0</v>
      </c>
      <c r="H171" s="76">
        <v>498066311.06189919</v>
      </c>
      <c r="I171" s="76">
        <v>0</v>
      </c>
      <c r="J171" s="76">
        <v>0</v>
      </c>
      <c r="K171" s="76">
        <v>0</v>
      </c>
      <c r="L171" s="76">
        <v>0</v>
      </c>
      <c r="M171" s="76">
        <v>0</v>
      </c>
      <c r="N171" s="76">
        <v>0</v>
      </c>
      <c r="O171" s="76">
        <v>0</v>
      </c>
      <c r="P171" s="76">
        <v>0</v>
      </c>
      <c r="Q171" s="73">
        <v>0</v>
      </c>
      <c r="S171" s="40"/>
      <c r="AJ171" s="40"/>
      <c r="AR171" s="40"/>
    </row>
    <row r="172" spans="1:44">
      <c r="A172" s="75">
        <v>41506</v>
      </c>
      <c r="B172" s="120">
        <v>0</v>
      </c>
      <c r="C172" s="76">
        <v>0</v>
      </c>
      <c r="D172" s="76">
        <v>0</v>
      </c>
      <c r="E172" s="76">
        <v>0</v>
      </c>
      <c r="F172" s="76">
        <v>0</v>
      </c>
      <c r="G172" s="76">
        <v>0</v>
      </c>
      <c r="H172" s="76">
        <v>0</v>
      </c>
      <c r="I172" s="76">
        <v>0</v>
      </c>
      <c r="J172" s="76">
        <v>0</v>
      </c>
      <c r="K172" s="76">
        <v>0</v>
      </c>
      <c r="L172" s="76">
        <v>0</v>
      </c>
      <c r="M172" s="76">
        <v>0</v>
      </c>
      <c r="N172" s="76">
        <v>0</v>
      </c>
      <c r="O172" s="76">
        <v>0</v>
      </c>
      <c r="P172" s="76">
        <v>0</v>
      </c>
      <c r="Q172" s="73">
        <v>0</v>
      </c>
      <c r="S172" s="40"/>
      <c r="AJ172" s="40"/>
      <c r="AR172" s="40"/>
    </row>
    <row r="173" spans="1:44">
      <c r="A173" s="75"/>
      <c r="S173" s="40"/>
      <c r="AJ173" s="40"/>
      <c r="AR173" s="40"/>
    </row>
    <row r="174" spans="1:44">
      <c r="A174" s="75"/>
      <c r="S174" s="40"/>
      <c r="AJ174" s="40"/>
      <c r="AR174" s="40"/>
    </row>
    <row r="175" spans="1:44">
      <c r="A175" s="75"/>
      <c r="S175" s="40"/>
      <c r="AJ175" s="40"/>
      <c r="AR175" s="40"/>
    </row>
    <row r="176" spans="1:44">
      <c r="A176" s="75"/>
      <c r="S176" s="40"/>
      <c r="AJ176" s="40"/>
      <c r="AR176" s="40"/>
    </row>
    <row r="177" spans="1:44">
      <c r="A177" s="75"/>
      <c r="F177" s="267"/>
      <c r="S177" s="40"/>
      <c r="AJ177" s="40"/>
      <c r="AR177" s="40"/>
    </row>
    <row r="178" spans="1:44">
      <c r="A178" s="75"/>
      <c r="S178" s="40"/>
      <c r="AJ178" s="40"/>
      <c r="AR178" s="40"/>
    </row>
    <row r="179" spans="1:44">
      <c r="A179" s="75"/>
      <c r="S179" s="40"/>
      <c r="AJ179" s="40"/>
      <c r="AR179" s="40"/>
    </row>
    <row r="180" spans="1:44">
      <c r="A180" s="75"/>
      <c r="S180" s="40"/>
      <c r="AJ180" s="40"/>
      <c r="AR180" s="40"/>
    </row>
    <row r="181" spans="1:44">
      <c r="A181" s="75"/>
      <c r="S181" s="40"/>
      <c r="AJ181" s="40"/>
      <c r="AR181" s="40"/>
    </row>
    <row r="182" spans="1:44">
      <c r="A182" s="75"/>
      <c r="S182" s="40"/>
      <c r="AJ182" s="40"/>
      <c r="AR182" s="40"/>
    </row>
    <row r="183" spans="1:44">
      <c r="A183" s="75"/>
      <c r="S183" s="40"/>
      <c r="AJ183" s="40"/>
      <c r="AR183" s="40"/>
    </row>
    <row r="184" spans="1:44">
      <c r="A184" s="75"/>
      <c r="S184" s="40"/>
      <c r="AJ184" s="40"/>
      <c r="AR184" s="40"/>
    </row>
    <row r="185" spans="1:44">
      <c r="A185" s="75"/>
      <c r="S185" s="40"/>
      <c r="AJ185" s="40"/>
      <c r="AR185" s="40"/>
    </row>
    <row r="186" spans="1:44">
      <c r="A186" s="75"/>
      <c r="S186" s="40"/>
      <c r="AJ186" s="40"/>
      <c r="AR186" s="40"/>
    </row>
    <row r="187" spans="1:44">
      <c r="A187" s="75"/>
      <c r="S187" s="40"/>
      <c r="AJ187" s="40"/>
      <c r="AR187" s="40"/>
    </row>
    <row r="188" spans="1:44">
      <c r="A188" s="75"/>
      <c r="S188" s="40"/>
      <c r="AJ188" s="40"/>
      <c r="AR188" s="40"/>
    </row>
    <row r="189" spans="1:44">
      <c r="A189" s="75"/>
      <c r="S189" s="40"/>
      <c r="AJ189" s="40"/>
      <c r="AR189" s="40"/>
    </row>
    <row r="190" spans="1:44">
      <c r="A190" s="75"/>
      <c r="S190" s="40"/>
      <c r="AJ190" s="40"/>
      <c r="AR190" s="40"/>
    </row>
    <row r="191" spans="1:44">
      <c r="A191" s="75"/>
      <c r="S191" s="40"/>
      <c r="AJ191" s="40"/>
      <c r="AR191" s="40"/>
    </row>
    <row r="192" spans="1:44">
      <c r="A192" s="75"/>
      <c r="S192" s="40"/>
      <c r="AJ192" s="40"/>
      <c r="AR192" s="40"/>
    </row>
    <row r="193" spans="1:44">
      <c r="A193" s="75"/>
      <c r="S193" s="40"/>
      <c r="AJ193" s="40"/>
      <c r="AR193" s="40"/>
    </row>
    <row r="194" spans="1:44">
      <c r="A194" s="75"/>
      <c r="S194" s="40"/>
      <c r="AJ194" s="40"/>
      <c r="AR194" s="40"/>
    </row>
    <row r="195" spans="1:44">
      <c r="A195" s="75"/>
      <c r="S195" s="40"/>
      <c r="AJ195" s="40"/>
      <c r="AR195" s="40"/>
    </row>
    <row r="196" spans="1:44">
      <c r="A196" s="75"/>
      <c r="S196" s="40"/>
      <c r="AJ196" s="40"/>
      <c r="AR196" s="40"/>
    </row>
    <row r="197" spans="1:44">
      <c r="A197" s="75"/>
      <c r="S197" s="40"/>
      <c r="AJ197" s="40"/>
      <c r="AR197" s="40"/>
    </row>
    <row r="198" spans="1:44">
      <c r="A198" s="75"/>
      <c r="S198" s="40"/>
      <c r="AJ198" s="40"/>
      <c r="AR198" s="40"/>
    </row>
    <row r="199" spans="1:44">
      <c r="A199" s="75"/>
      <c r="S199" s="40"/>
      <c r="AJ199" s="40"/>
      <c r="AR199" s="40"/>
    </row>
    <row r="200" spans="1:44">
      <c r="A200" s="75"/>
      <c r="S200" s="40"/>
      <c r="AJ200" s="40"/>
      <c r="AR200" s="40"/>
    </row>
    <row r="201" spans="1:44">
      <c r="A201" s="75"/>
      <c r="S201" s="40"/>
      <c r="AJ201" s="40"/>
      <c r="AR201" s="40"/>
    </row>
    <row r="202" spans="1:44">
      <c r="A202" s="75"/>
      <c r="S202" s="40"/>
      <c r="AJ202" s="40"/>
      <c r="AR202" s="40"/>
    </row>
    <row r="203" spans="1:44">
      <c r="A203" s="75"/>
      <c r="S203" s="40"/>
      <c r="AJ203" s="40"/>
      <c r="AR203" s="40"/>
    </row>
    <row r="204" spans="1:44">
      <c r="A204" s="75"/>
      <c r="S204" s="40"/>
      <c r="AJ204" s="40"/>
      <c r="AR204" s="40"/>
    </row>
    <row r="205" spans="1:44">
      <c r="A205" s="75"/>
      <c r="S205" s="40"/>
      <c r="AJ205" s="40"/>
      <c r="AR205" s="40"/>
    </row>
    <row r="206" spans="1:44">
      <c r="A206" s="75"/>
      <c r="S206" s="40"/>
      <c r="AJ206" s="40"/>
      <c r="AR206" s="40"/>
    </row>
    <row r="207" spans="1:44">
      <c r="A207" s="75"/>
      <c r="S207" s="40"/>
      <c r="AJ207" s="40"/>
      <c r="AR207" s="40"/>
    </row>
    <row r="208" spans="1:44">
      <c r="A208" s="75"/>
      <c r="S208" s="40"/>
      <c r="AJ208" s="40"/>
      <c r="AR208" s="40"/>
    </row>
    <row r="209" spans="1:44">
      <c r="A209" s="75"/>
      <c r="S209" s="40"/>
      <c r="AJ209" s="40"/>
      <c r="AR209" s="40"/>
    </row>
    <row r="210" spans="1:44">
      <c r="A210" s="75"/>
      <c r="S210" s="40"/>
      <c r="AJ210" s="40"/>
      <c r="AR210" s="40"/>
    </row>
    <row r="211" spans="1:44">
      <c r="A211" s="75"/>
      <c r="S211" s="40"/>
      <c r="AJ211" s="40"/>
      <c r="AR211" s="40"/>
    </row>
    <row r="212" spans="1:44">
      <c r="A212" s="75"/>
      <c r="S212" s="40"/>
      <c r="AJ212" s="40"/>
      <c r="AR212" s="40"/>
    </row>
    <row r="213" spans="1:44">
      <c r="A213" s="75"/>
      <c r="S213" s="40"/>
      <c r="AJ213" s="40"/>
      <c r="AR213" s="40"/>
    </row>
    <row r="214" spans="1:44">
      <c r="A214" s="75"/>
      <c r="S214" s="40"/>
      <c r="AJ214" s="40"/>
      <c r="AR214" s="40"/>
    </row>
    <row r="215" spans="1:44">
      <c r="A215" s="75"/>
      <c r="S215" s="40"/>
      <c r="AJ215" s="40"/>
      <c r="AR215" s="40"/>
    </row>
    <row r="216" spans="1:44">
      <c r="A216" s="75"/>
      <c r="S216" s="40"/>
      <c r="AJ216" s="40"/>
      <c r="AR216" s="40"/>
    </row>
    <row r="217" spans="1:44">
      <c r="A217" s="75"/>
      <c r="S217" s="40"/>
      <c r="AJ217" s="40"/>
      <c r="AR217" s="40"/>
    </row>
    <row r="218" spans="1:44">
      <c r="A218" s="75"/>
      <c r="S218" s="40"/>
      <c r="AJ218" s="40"/>
      <c r="AR218" s="40"/>
    </row>
    <row r="219" spans="1:44">
      <c r="A219" s="75"/>
      <c r="S219" s="40"/>
      <c r="AJ219" s="40"/>
      <c r="AR219" s="40"/>
    </row>
    <row r="220" spans="1:44">
      <c r="A220" s="75"/>
      <c r="S220" s="40"/>
      <c r="AJ220" s="40"/>
      <c r="AR220" s="40"/>
    </row>
    <row r="221" spans="1:44">
      <c r="A221" s="75"/>
      <c r="S221" s="40"/>
      <c r="AJ221" s="40"/>
      <c r="AR221" s="40"/>
    </row>
    <row r="222" spans="1:44">
      <c r="A222" s="75"/>
      <c r="S222" s="40"/>
      <c r="AJ222" s="40"/>
      <c r="AR222" s="40"/>
    </row>
    <row r="223" spans="1:44">
      <c r="A223" s="75"/>
      <c r="S223" s="40"/>
      <c r="AJ223" s="40"/>
      <c r="AR223" s="40"/>
    </row>
    <row r="224" spans="1:44">
      <c r="A224" s="75"/>
      <c r="S224" s="40"/>
      <c r="AJ224" s="40"/>
      <c r="AR224" s="40"/>
    </row>
    <row r="225" spans="1:44">
      <c r="A225" s="75"/>
      <c r="S225" s="40"/>
      <c r="AJ225" s="40"/>
      <c r="AR225" s="40"/>
    </row>
    <row r="226" spans="1:44">
      <c r="A226" s="75"/>
      <c r="S226" s="40"/>
      <c r="AJ226" s="40"/>
      <c r="AR226" s="40"/>
    </row>
    <row r="227" spans="1:44">
      <c r="A227" s="75"/>
      <c r="S227" s="40"/>
      <c r="AJ227" s="40"/>
      <c r="AR227" s="40"/>
    </row>
    <row r="228" spans="1:44">
      <c r="A228" s="75"/>
      <c r="S228" s="40"/>
      <c r="AJ228" s="40"/>
      <c r="AR228" s="40"/>
    </row>
    <row r="229" spans="1:44">
      <c r="A229" s="75"/>
      <c r="S229" s="40"/>
      <c r="AJ229" s="40"/>
      <c r="AR229" s="40"/>
    </row>
    <row r="230" spans="1:44">
      <c r="A230" s="75"/>
      <c r="S230" s="40"/>
      <c r="AJ230" s="40"/>
      <c r="AR230" s="40"/>
    </row>
    <row r="231" spans="1:44">
      <c r="A231" s="75"/>
      <c r="S231" s="40"/>
      <c r="AJ231" s="40"/>
      <c r="AR231" s="40"/>
    </row>
    <row r="232" spans="1:44">
      <c r="A232" s="75"/>
      <c r="S232" s="40"/>
      <c r="AJ232" s="40"/>
      <c r="AR232" s="40"/>
    </row>
    <row r="233" spans="1:44">
      <c r="A233" s="75"/>
      <c r="S233" s="40"/>
      <c r="AJ233" s="40"/>
      <c r="AR233" s="40"/>
    </row>
    <row r="234" spans="1:44">
      <c r="A234" s="75"/>
      <c r="S234" s="40"/>
      <c r="AJ234" s="40"/>
      <c r="AR234" s="40"/>
    </row>
    <row r="235" spans="1:44">
      <c r="A235" s="75"/>
      <c r="S235" s="40"/>
      <c r="AJ235" s="40"/>
      <c r="AR235" s="40"/>
    </row>
    <row r="236" spans="1:44">
      <c r="A236" s="75"/>
      <c r="S236" s="40"/>
      <c r="AJ236" s="40"/>
      <c r="AR236" s="40"/>
    </row>
    <row r="237" spans="1:44">
      <c r="A237" s="75"/>
      <c r="S237" s="40"/>
      <c r="AJ237" s="40"/>
      <c r="AR237" s="40"/>
    </row>
    <row r="238" spans="1:44">
      <c r="A238" s="75"/>
      <c r="S238" s="40"/>
      <c r="AJ238" s="40"/>
      <c r="AR238" s="40"/>
    </row>
    <row r="239" spans="1:44">
      <c r="A239" s="75"/>
      <c r="S239" s="40"/>
      <c r="AJ239" s="40"/>
      <c r="AR239" s="40"/>
    </row>
    <row r="240" spans="1:44">
      <c r="A240" s="75"/>
      <c r="S240" s="40"/>
      <c r="AJ240" s="40"/>
      <c r="AR240" s="40"/>
    </row>
    <row r="241" spans="1:44">
      <c r="A241" s="75"/>
      <c r="S241" s="40"/>
      <c r="AJ241" s="40"/>
      <c r="AR241" s="40"/>
    </row>
    <row r="242" spans="1:44">
      <c r="A242" s="75"/>
      <c r="S242" s="40"/>
      <c r="AJ242" s="40"/>
      <c r="AR242" s="40"/>
    </row>
    <row r="243" spans="1:44">
      <c r="A243" s="75"/>
      <c r="S243" s="40"/>
      <c r="AJ243" s="40"/>
      <c r="AR243" s="40"/>
    </row>
  </sheetData>
  <phoneticPr fontId="3" type="noConversion"/>
  <pageMargins left="0.75" right="0.75" top="1" bottom="1" header="0.5" footer="0.5"/>
  <pageSetup paperSize="9"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sheetPr codeName="Sheet14" enableFormatConditionsCalculation="0">
    <tabColor indexed="43"/>
  </sheetPr>
  <dimension ref="A1:DL256"/>
  <sheetViews>
    <sheetView topLeftCell="AR48" zoomScale="75" workbookViewId="0">
      <selection activeCell="BB96" sqref="BB96"/>
    </sheetView>
  </sheetViews>
  <sheetFormatPr defaultRowHeight="12.75"/>
  <cols>
    <col min="1" max="1" width="11.7109375" style="37" customWidth="1"/>
    <col min="2" max="2" width="18.7109375" style="37" bestFit="1" customWidth="1"/>
    <col min="3" max="4" width="16.5703125" style="37" customWidth="1"/>
    <col min="5" max="6" width="18.7109375" style="37" bestFit="1" customWidth="1"/>
    <col min="7" max="8" width="17.5703125" style="37" bestFit="1" customWidth="1"/>
    <col min="9" max="9" width="15.85546875" style="37" bestFit="1" customWidth="1"/>
    <col min="10" max="10" width="16.85546875" style="37" bestFit="1" customWidth="1"/>
    <col min="11" max="14" width="15.85546875" style="37" bestFit="1" customWidth="1"/>
    <col min="15" max="15" width="16.42578125" style="37" bestFit="1" customWidth="1"/>
    <col min="16" max="16" width="16.85546875" style="37" bestFit="1" customWidth="1"/>
    <col min="17" max="17" width="15.85546875" style="37" bestFit="1" customWidth="1"/>
    <col min="18" max="18" width="18.42578125" style="37" bestFit="1" customWidth="1"/>
    <col min="19" max="19" width="20" style="37" customWidth="1"/>
    <col min="20" max="37" width="19" style="38" customWidth="1"/>
    <col min="38" max="38" width="11.7109375" style="37" customWidth="1"/>
    <col min="39" max="39" width="22.140625" style="37" customWidth="1"/>
    <col min="40" max="40" width="22" style="37" customWidth="1"/>
    <col min="41" max="41" width="21.42578125" style="37" customWidth="1"/>
    <col min="42" max="42" width="22.140625" style="37" customWidth="1"/>
    <col min="43" max="43" width="14" style="37" bestFit="1" customWidth="1"/>
    <col min="44" max="44" width="12.28515625" bestFit="1" customWidth="1"/>
    <col min="45" max="45" width="25.85546875" style="37" customWidth="1"/>
    <col min="46" max="46" width="16.7109375" style="37" customWidth="1"/>
    <col min="47" max="62" width="19" style="38" customWidth="1"/>
    <col min="63" max="63" width="9.140625" style="37"/>
    <col min="64" max="64" width="15" style="37" customWidth="1"/>
    <col min="65" max="65" width="12.42578125" style="37" bestFit="1" customWidth="1"/>
    <col min="66" max="66" width="11.42578125" style="37" bestFit="1" customWidth="1"/>
    <col min="67" max="71" width="12.42578125" style="37" bestFit="1" customWidth="1"/>
    <col min="72" max="78" width="11.42578125" style="37" bestFit="1" customWidth="1"/>
    <col min="79" max="79" width="12.42578125" style="37" bestFit="1" customWidth="1"/>
    <col min="80" max="80" width="11.42578125" style="37" bestFit="1" customWidth="1"/>
    <col min="81" max="81" width="22.28515625" style="37" customWidth="1"/>
    <col min="82" max="82" width="14" style="37" bestFit="1" customWidth="1"/>
    <col min="83" max="84" width="12.42578125" style="37" bestFit="1" customWidth="1"/>
    <col min="85" max="86" width="14" style="37" bestFit="1" customWidth="1"/>
    <col min="87" max="88" width="12.42578125" style="37" bestFit="1" customWidth="1"/>
    <col min="89" max="89" width="11.42578125" style="37" bestFit="1" customWidth="1"/>
    <col min="90" max="90" width="12.42578125" style="37" bestFit="1" customWidth="1"/>
    <col min="91" max="95" width="11.42578125" style="37" bestFit="1" customWidth="1"/>
    <col min="96" max="96" width="12.42578125" style="37" bestFit="1" customWidth="1"/>
    <col min="97" max="97" width="11.42578125" style="37" bestFit="1" customWidth="1"/>
    <col min="98" max="98" width="17.5703125" style="61" customWidth="1"/>
    <col min="99" max="99" width="9.140625" style="37"/>
    <col min="100" max="100" width="16" style="37" customWidth="1"/>
    <col min="101" max="101" width="40.5703125" style="37" customWidth="1"/>
    <col min="102" max="103" width="15" style="37" bestFit="1" customWidth="1"/>
    <col min="104" max="105" width="16.5703125" style="37" bestFit="1" customWidth="1"/>
    <col min="106" max="107" width="15" style="37" bestFit="1" customWidth="1"/>
    <col min="108" max="108" width="13.85546875" style="37" bestFit="1" customWidth="1"/>
    <col min="109" max="109" width="14.85546875" style="37" bestFit="1" customWidth="1"/>
    <col min="110" max="114" width="13.85546875" style="37" bestFit="1" customWidth="1"/>
    <col min="115" max="115" width="15" style="37" bestFit="1" customWidth="1"/>
    <col min="116" max="116" width="14" style="37" bestFit="1" customWidth="1"/>
    <col min="117" max="16384" width="9.140625" style="37"/>
  </cols>
  <sheetData>
    <row r="1" spans="1:116" ht="35.25" customHeight="1">
      <c r="A1" s="400" t="s">
        <v>674</v>
      </c>
      <c r="B1" s="37" t="s">
        <v>827</v>
      </c>
      <c r="C1" s="37" t="s">
        <v>828</v>
      </c>
      <c r="D1" s="37" t="s">
        <v>829</v>
      </c>
      <c r="E1" s="37" t="s">
        <v>830</v>
      </c>
      <c r="F1" s="37" t="s">
        <v>831</v>
      </c>
      <c r="G1" s="37" t="s">
        <v>832</v>
      </c>
      <c r="H1" s="37" t="s">
        <v>833</v>
      </c>
      <c r="I1" s="37" t="s">
        <v>834</v>
      </c>
      <c r="J1" s="37" t="s">
        <v>835</v>
      </c>
      <c r="K1" s="37" t="s">
        <v>836</v>
      </c>
      <c r="L1" s="37" t="s">
        <v>837</v>
      </c>
      <c r="M1" s="37" t="s">
        <v>838</v>
      </c>
      <c r="N1" s="37" t="s">
        <v>839</v>
      </c>
      <c r="O1" s="37" t="s">
        <v>840</v>
      </c>
      <c r="P1" s="37" t="s">
        <v>841</v>
      </c>
      <c r="Q1" s="37" t="s">
        <v>842</v>
      </c>
      <c r="R1" s="368" t="s">
        <v>138</v>
      </c>
      <c r="S1" s="60" t="s">
        <v>988</v>
      </c>
      <c r="T1" s="37" t="s">
        <v>827</v>
      </c>
      <c r="U1" s="37" t="s">
        <v>828</v>
      </c>
      <c r="V1" s="37" t="s">
        <v>829</v>
      </c>
      <c r="W1" s="37" t="s">
        <v>830</v>
      </c>
      <c r="X1" s="37" t="s">
        <v>831</v>
      </c>
      <c r="Y1" s="37" t="s">
        <v>832</v>
      </c>
      <c r="Z1" s="37" t="s">
        <v>833</v>
      </c>
      <c r="AA1" s="37" t="s">
        <v>834</v>
      </c>
      <c r="AB1" s="37" t="s">
        <v>835</v>
      </c>
      <c r="AC1" s="37" t="s">
        <v>836</v>
      </c>
      <c r="AD1" s="37" t="s">
        <v>837</v>
      </c>
      <c r="AE1" s="37" t="s">
        <v>838</v>
      </c>
      <c r="AF1" s="37" t="s">
        <v>839</v>
      </c>
      <c r="AG1" s="37" t="s">
        <v>840</v>
      </c>
      <c r="AH1" s="37" t="s">
        <v>841</v>
      </c>
      <c r="AI1" s="37" t="s">
        <v>842</v>
      </c>
      <c r="AJ1" s="37" t="s">
        <v>138</v>
      </c>
      <c r="AK1" s="37"/>
      <c r="AM1" s="39" t="s">
        <v>843</v>
      </c>
      <c r="AN1" s="39" t="s">
        <v>844</v>
      </c>
      <c r="AO1" s="39" t="s">
        <v>845</v>
      </c>
      <c r="AP1" s="39" t="s">
        <v>846</v>
      </c>
      <c r="AQ1" s="37" t="s">
        <v>138</v>
      </c>
      <c r="AS1" s="60" t="s">
        <v>986</v>
      </c>
      <c r="AU1" s="37" t="s">
        <v>827</v>
      </c>
      <c r="AV1" s="37" t="s">
        <v>828</v>
      </c>
      <c r="AW1" s="37" t="s">
        <v>829</v>
      </c>
      <c r="AX1" s="37" t="s">
        <v>830</v>
      </c>
      <c r="AY1" s="37" t="s">
        <v>831</v>
      </c>
      <c r="AZ1" s="37" t="s">
        <v>832</v>
      </c>
      <c r="BA1" s="37" t="s">
        <v>833</v>
      </c>
      <c r="BB1" s="37" t="s">
        <v>834</v>
      </c>
      <c r="BC1" s="37" t="s">
        <v>835</v>
      </c>
      <c r="BD1" s="37" t="s">
        <v>836</v>
      </c>
      <c r="BE1" s="37" t="s">
        <v>837</v>
      </c>
      <c r="BF1" s="37" t="s">
        <v>838</v>
      </c>
      <c r="BG1" s="37" t="s">
        <v>839</v>
      </c>
      <c r="BH1" s="37" t="s">
        <v>840</v>
      </c>
      <c r="BI1" s="37" t="s">
        <v>841</v>
      </c>
      <c r="BJ1" s="37" t="s">
        <v>842</v>
      </c>
      <c r="BL1" s="62" t="s">
        <v>987</v>
      </c>
      <c r="BM1" s="37" t="s">
        <v>827</v>
      </c>
      <c r="BN1" s="37" t="s">
        <v>828</v>
      </c>
      <c r="BO1" s="37" t="s">
        <v>829</v>
      </c>
      <c r="BP1" s="37" t="s">
        <v>830</v>
      </c>
      <c r="BQ1" s="37" t="s">
        <v>831</v>
      </c>
      <c r="BR1" s="37" t="s">
        <v>832</v>
      </c>
      <c r="BS1" s="37" t="s">
        <v>833</v>
      </c>
      <c r="BT1" s="37" t="s">
        <v>834</v>
      </c>
      <c r="BU1" s="37" t="s">
        <v>835</v>
      </c>
      <c r="BV1" s="37" t="s">
        <v>836</v>
      </c>
      <c r="BW1" s="37" t="s">
        <v>837</v>
      </c>
      <c r="BX1" s="37" t="s">
        <v>838</v>
      </c>
      <c r="BY1" s="37" t="s">
        <v>839</v>
      </c>
      <c r="BZ1" s="37" t="s">
        <v>840</v>
      </c>
      <c r="CA1" s="37" t="s">
        <v>841</v>
      </c>
      <c r="CB1" s="37" t="s">
        <v>842</v>
      </c>
      <c r="CC1" s="62" t="s">
        <v>989</v>
      </c>
      <c r="CD1" s="37" t="s">
        <v>827</v>
      </c>
      <c r="CE1" s="37" t="s">
        <v>828</v>
      </c>
      <c r="CF1" s="37" t="s">
        <v>829</v>
      </c>
      <c r="CG1" s="37" t="s">
        <v>830</v>
      </c>
      <c r="CH1" s="37" t="s">
        <v>831</v>
      </c>
      <c r="CI1" s="37" t="s">
        <v>832</v>
      </c>
      <c r="CJ1" s="37" t="s">
        <v>833</v>
      </c>
      <c r="CK1" s="37" t="s">
        <v>834</v>
      </c>
      <c r="CL1" s="37" t="s">
        <v>835</v>
      </c>
      <c r="CM1" s="37" t="s">
        <v>836</v>
      </c>
      <c r="CN1" s="37" t="s">
        <v>837</v>
      </c>
      <c r="CO1" s="37" t="s">
        <v>838</v>
      </c>
      <c r="CP1" s="37" t="s">
        <v>839</v>
      </c>
      <c r="CQ1" s="37" t="s">
        <v>840</v>
      </c>
      <c r="CR1" s="37" t="s">
        <v>841</v>
      </c>
      <c r="CS1" s="37" t="s">
        <v>842</v>
      </c>
      <c r="CT1" s="61" t="s">
        <v>138</v>
      </c>
      <c r="CV1" s="37" t="s">
        <v>990</v>
      </c>
      <c r="CW1" s="37" t="s">
        <v>827</v>
      </c>
      <c r="CX1" s="37" t="s">
        <v>828</v>
      </c>
      <c r="CY1" s="37" t="s">
        <v>829</v>
      </c>
      <c r="CZ1" s="37" t="s">
        <v>830</v>
      </c>
      <c r="DA1" s="37" t="s">
        <v>831</v>
      </c>
      <c r="DB1" s="37" t="s">
        <v>832</v>
      </c>
      <c r="DC1" s="37" t="s">
        <v>833</v>
      </c>
      <c r="DD1" s="37" t="s">
        <v>834</v>
      </c>
      <c r="DE1" s="37" t="s">
        <v>835</v>
      </c>
      <c r="DF1" s="37" t="s">
        <v>836</v>
      </c>
      <c r="DG1" s="37" t="s">
        <v>837</v>
      </c>
      <c r="DH1" s="37" t="s">
        <v>838</v>
      </c>
      <c r="DI1" s="37" t="s">
        <v>839</v>
      </c>
      <c r="DJ1" s="37" t="s">
        <v>840</v>
      </c>
      <c r="DK1" s="37" t="s">
        <v>841</v>
      </c>
      <c r="DL1" s="37" t="s">
        <v>842</v>
      </c>
    </row>
    <row r="2" spans="1:116">
      <c r="A2" s="37" t="s">
        <v>847</v>
      </c>
      <c r="B2" s="37" t="s">
        <v>848</v>
      </c>
      <c r="C2" s="37" t="s">
        <v>848</v>
      </c>
      <c r="D2" s="37" t="s">
        <v>848</v>
      </c>
      <c r="E2" s="37" t="s">
        <v>848</v>
      </c>
      <c r="F2" s="37" t="s">
        <v>848</v>
      </c>
      <c r="G2" s="37" t="s">
        <v>848</v>
      </c>
      <c r="H2" s="37" t="s">
        <v>848</v>
      </c>
      <c r="I2" s="37" t="s">
        <v>848</v>
      </c>
      <c r="J2" s="37" t="s">
        <v>848</v>
      </c>
      <c r="K2" s="37" t="s">
        <v>848</v>
      </c>
      <c r="L2" s="37" t="s">
        <v>848</v>
      </c>
      <c r="M2" s="37" t="s">
        <v>848</v>
      </c>
      <c r="N2" s="37" t="s">
        <v>848</v>
      </c>
      <c r="O2" s="37" t="s">
        <v>848</v>
      </c>
      <c r="P2" s="37" t="s">
        <v>848</v>
      </c>
      <c r="Q2" s="37" t="s">
        <v>848</v>
      </c>
      <c r="S2" s="37" t="s">
        <v>847</v>
      </c>
      <c r="AL2" s="37" t="s">
        <v>847</v>
      </c>
      <c r="AT2" s="37" t="s">
        <v>847</v>
      </c>
      <c r="BL2" s="37" t="s">
        <v>847</v>
      </c>
      <c r="CC2" s="37" t="s">
        <v>847</v>
      </c>
    </row>
    <row r="3" spans="1:116">
      <c r="A3" s="40">
        <v>39030</v>
      </c>
      <c r="B3" s="188">
        <v>1001634245.35</v>
      </c>
      <c r="C3" s="188">
        <v>305205258.92000002</v>
      </c>
      <c r="D3" s="188">
        <v>610000000</v>
      </c>
      <c r="E3" s="188">
        <v>1368548684.7</v>
      </c>
      <c r="F3" s="188">
        <v>1139656560.24</v>
      </c>
      <c r="G3" s="188">
        <v>547472191.47000003</v>
      </c>
      <c r="H3" s="71">
        <v>500000000</v>
      </c>
      <c r="I3" s="71">
        <v>44546365.119999997</v>
      </c>
      <c r="J3" s="71">
        <v>112020391.73999999</v>
      </c>
      <c r="K3" s="71">
        <v>23000000</v>
      </c>
      <c r="L3" s="71">
        <v>39274605.939999998</v>
      </c>
      <c r="M3" s="71">
        <v>61041051.780000001</v>
      </c>
      <c r="N3" s="71">
        <v>56000000</v>
      </c>
      <c r="O3" s="71">
        <v>36902314.299999997</v>
      </c>
      <c r="P3" s="71">
        <v>141534746.44</v>
      </c>
      <c r="Q3" s="71">
        <v>20000000</v>
      </c>
      <c r="R3" s="187">
        <f>SUM(B3:Q3)</f>
        <v>6006836415.999999</v>
      </c>
      <c r="S3" s="40">
        <v>39030</v>
      </c>
      <c r="T3" s="82"/>
      <c r="U3" s="82"/>
      <c r="V3" s="82"/>
      <c r="W3" s="82"/>
      <c r="X3" s="82"/>
      <c r="Y3" s="82"/>
      <c r="Z3" s="82"/>
      <c r="AA3" s="82"/>
      <c r="AB3" s="82"/>
      <c r="AC3" s="82"/>
      <c r="AD3" s="82"/>
      <c r="AE3" s="82"/>
      <c r="AF3" s="82"/>
      <c r="AG3" s="82"/>
      <c r="AH3" s="82"/>
      <c r="AI3" s="82"/>
      <c r="AJ3" s="82"/>
      <c r="AL3" s="40">
        <v>39030</v>
      </c>
      <c r="AM3" s="43">
        <f>+SUM(B3:H3)</f>
        <v>5472516940.6800003</v>
      </c>
      <c r="AN3" s="43">
        <f>+SUM(I3:K3)</f>
        <v>179566756.85999998</v>
      </c>
      <c r="AO3" s="43">
        <f>+SUM(L3:N3)</f>
        <v>156315657.72</v>
      </c>
      <c r="AP3" s="43">
        <f>+SUM(O3:Q3)</f>
        <v>198437060.74000001</v>
      </c>
      <c r="AQ3" s="43">
        <f>+SUM(AM3:AP3)</f>
        <v>6006836416</v>
      </c>
      <c r="AT3" s="40">
        <v>39030</v>
      </c>
      <c r="AU3" s="63">
        <v>0</v>
      </c>
      <c r="AV3" s="63">
        <v>0</v>
      </c>
      <c r="AW3" s="63">
        <v>0</v>
      </c>
      <c r="AX3" s="63">
        <v>0</v>
      </c>
      <c r="AY3" s="63">
        <v>0</v>
      </c>
      <c r="AZ3" s="63">
        <v>0</v>
      </c>
      <c r="BA3" s="63">
        <v>0</v>
      </c>
      <c r="BB3" s="63">
        <v>0</v>
      </c>
      <c r="BC3" s="63">
        <v>0</v>
      </c>
      <c r="BD3" s="63">
        <v>0</v>
      </c>
      <c r="BE3" s="63">
        <v>0</v>
      </c>
      <c r="BF3" s="63">
        <v>0</v>
      </c>
      <c r="BG3" s="63">
        <v>0</v>
      </c>
      <c r="BH3" s="63">
        <v>0</v>
      </c>
      <c r="BI3" s="63">
        <v>0</v>
      </c>
      <c r="BJ3" s="63">
        <v>0</v>
      </c>
      <c r="BL3" s="40"/>
      <c r="BM3" s="43"/>
      <c r="BN3" s="43"/>
      <c r="BO3" s="43"/>
      <c r="BP3" s="43"/>
      <c r="BQ3" s="43"/>
      <c r="BR3" s="43"/>
      <c r="BS3" s="43"/>
      <c r="BT3" s="43"/>
      <c r="BU3" s="43"/>
      <c r="BV3" s="43"/>
      <c r="BW3" s="43"/>
      <c r="BX3" s="43"/>
      <c r="BY3" s="43"/>
      <c r="BZ3" s="43"/>
      <c r="CA3" s="43"/>
      <c r="CB3" s="43"/>
      <c r="CC3" s="40">
        <v>39030</v>
      </c>
      <c r="CD3" s="43">
        <f t="shared" ref="CD3:CS3" si="0">+BM3</f>
        <v>0</v>
      </c>
      <c r="CE3" s="43">
        <f t="shared" si="0"/>
        <v>0</v>
      </c>
      <c r="CF3" s="43">
        <f t="shared" si="0"/>
        <v>0</v>
      </c>
      <c r="CG3" s="43">
        <f t="shared" si="0"/>
        <v>0</v>
      </c>
      <c r="CH3" s="43">
        <f t="shared" si="0"/>
        <v>0</v>
      </c>
      <c r="CI3" s="43">
        <f t="shared" si="0"/>
        <v>0</v>
      </c>
      <c r="CJ3" s="43">
        <f t="shared" si="0"/>
        <v>0</v>
      </c>
      <c r="CK3" s="43">
        <f t="shared" si="0"/>
        <v>0</v>
      </c>
      <c r="CL3" s="43">
        <f t="shared" si="0"/>
        <v>0</v>
      </c>
      <c r="CM3" s="43">
        <f t="shared" si="0"/>
        <v>0</v>
      </c>
      <c r="CN3" s="43">
        <f t="shared" si="0"/>
        <v>0</v>
      </c>
      <c r="CO3" s="43">
        <f t="shared" si="0"/>
        <v>0</v>
      </c>
      <c r="CP3" s="43">
        <f t="shared" si="0"/>
        <v>0</v>
      </c>
      <c r="CQ3" s="43">
        <f t="shared" si="0"/>
        <v>0</v>
      </c>
      <c r="CR3" s="43">
        <f t="shared" si="0"/>
        <v>0</v>
      </c>
      <c r="CS3" s="43">
        <f t="shared" si="0"/>
        <v>0</v>
      </c>
      <c r="CT3" s="64">
        <f>+SUM(CD3:CS3)</f>
        <v>0</v>
      </c>
      <c r="CV3" s="40">
        <v>39030</v>
      </c>
      <c r="CW3" s="99">
        <f>+B3</f>
        <v>1001634245.35</v>
      </c>
      <c r="CX3" s="99">
        <f t="shared" ref="CX3:DL3" si="1">+C3</f>
        <v>305205258.92000002</v>
      </c>
      <c r="CY3" s="99">
        <f t="shared" si="1"/>
        <v>610000000</v>
      </c>
      <c r="CZ3" s="99">
        <f t="shared" si="1"/>
        <v>1368548684.7</v>
      </c>
      <c r="DA3" s="99">
        <f t="shared" si="1"/>
        <v>1139656560.24</v>
      </c>
      <c r="DB3" s="99">
        <f t="shared" si="1"/>
        <v>547472191.47000003</v>
      </c>
      <c r="DC3" s="99">
        <f t="shared" si="1"/>
        <v>500000000</v>
      </c>
      <c r="DD3" s="99">
        <f t="shared" si="1"/>
        <v>44546365.119999997</v>
      </c>
      <c r="DE3" s="99">
        <f t="shared" si="1"/>
        <v>112020391.73999999</v>
      </c>
      <c r="DF3" s="99">
        <f t="shared" si="1"/>
        <v>23000000</v>
      </c>
      <c r="DG3" s="99">
        <f t="shared" si="1"/>
        <v>39274605.939999998</v>
      </c>
      <c r="DH3" s="99">
        <f t="shared" si="1"/>
        <v>61041051.780000001</v>
      </c>
      <c r="DI3" s="99">
        <f t="shared" si="1"/>
        <v>56000000</v>
      </c>
      <c r="DJ3" s="99">
        <f t="shared" si="1"/>
        <v>36902314.299999997</v>
      </c>
      <c r="DK3" s="99">
        <f t="shared" si="1"/>
        <v>141534746.44</v>
      </c>
      <c r="DL3" s="99">
        <f t="shared" si="1"/>
        <v>20000000</v>
      </c>
    </row>
    <row r="4" spans="1:116">
      <c r="A4" s="40">
        <v>39041</v>
      </c>
      <c r="B4" s="188">
        <v>1001634245.3476725</v>
      </c>
      <c r="C4" s="188">
        <v>305205258.92138451</v>
      </c>
      <c r="D4" s="188">
        <v>610000000</v>
      </c>
      <c r="E4" s="188">
        <v>1368548684.6960831</v>
      </c>
      <c r="F4" s="188">
        <v>1139656560.236115</v>
      </c>
      <c r="G4" s="188">
        <v>547472191.47029364</v>
      </c>
      <c r="H4" s="71">
        <v>500000000</v>
      </c>
      <c r="I4" s="71">
        <v>44546365.122041218</v>
      </c>
      <c r="J4" s="71">
        <v>112020391.73598069</v>
      </c>
      <c r="K4" s="71">
        <v>23000000</v>
      </c>
      <c r="L4" s="71">
        <v>39274605.936000846</v>
      </c>
      <c r="M4" s="71">
        <v>61041051.784276903</v>
      </c>
      <c r="N4" s="71">
        <v>56000000</v>
      </c>
      <c r="O4" s="71">
        <v>36902314.302282669</v>
      </c>
      <c r="P4" s="71">
        <v>141534746.44486183</v>
      </c>
      <c r="Q4" s="71">
        <v>20000000</v>
      </c>
      <c r="R4" s="187">
        <f t="shared" ref="R4:R67" si="2">SUM(B4:Q4)</f>
        <v>6006836415.9969931</v>
      </c>
      <c r="S4" s="40">
        <v>39041</v>
      </c>
      <c r="T4" s="82">
        <f>+ROUND(B3-B4,2)</f>
        <v>0</v>
      </c>
      <c r="U4" s="82">
        <f t="shared" ref="U4:AI4" si="3">+ROUND(C3-C4,2)</f>
        <v>0</v>
      </c>
      <c r="V4" s="82">
        <f t="shared" si="3"/>
        <v>0</v>
      </c>
      <c r="W4" s="82">
        <f t="shared" si="3"/>
        <v>0</v>
      </c>
      <c r="X4" s="82">
        <f t="shared" si="3"/>
        <v>0</v>
      </c>
      <c r="Y4" s="82">
        <f t="shared" si="3"/>
        <v>0</v>
      </c>
      <c r="Z4" s="82">
        <f t="shared" si="3"/>
        <v>0</v>
      </c>
      <c r="AA4" s="82">
        <f t="shared" si="3"/>
        <v>0</v>
      </c>
      <c r="AB4" s="82">
        <f t="shared" si="3"/>
        <v>0</v>
      </c>
      <c r="AC4" s="82">
        <f t="shared" si="3"/>
        <v>0</v>
      </c>
      <c r="AD4" s="82">
        <f t="shared" si="3"/>
        <v>0</v>
      </c>
      <c r="AE4" s="82">
        <f t="shared" si="3"/>
        <v>0</v>
      </c>
      <c r="AF4" s="82">
        <f t="shared" si="3"/>
        <v>0</v>
      </c>
      <c r="AG4" s="82">
        <f t="shared" si="3"/>
        <v>0</v>
      </c>
      <c r="AH4" s="82">
        <f t="shared" si="3"/>
        <v>0</v>
      </c>
      <c r="AI4" s="82">
        <f t="shared" si="3"/>
        <v>0</v>
      </c>
      <c r="AJ4" s="82">
        <f>+ROUND(SUM(T4:AI4),2)</f>
        <v>0</v>
      </c>
      <c r="AK4" s="42"/>
      <c r="AL4" s="40">
        <v>39041</v>
      </c>
      <c r="AM4" s="43">
        <f>+SUM(B4:H4)</f>
        <v>5472516940.6715498</v>
      </c>
      <c r="AN4" s="43">
        <f>+SUM(I4:K4)</f>
        <v>179566756.85802191</v>
      </c>
      <c r="AO4" s="43">
        <f>+SUM(L4:N4)</f>
        <v>156315657.72027776</v>
      </c>
      <c r="AP4" s="43">
        <f>+SUM(O4:Q4)</f>
        <v>198437060.74714449</v>
      </c>
      <c r="AQ4" s="43">
        <f t="shared" ref="AQ4:AQ67" si="4">+SUM(AM4:AP4)</f>
        <v>6006836415.996994</v>
      </c>
      <c r="AT4" s="40">
        <v>39041</v>
      </c>
      <c r="AU4" s="63">
        <v>0</v>
      </c>
      <c r="AV4" s="63">
        <v>0</v>
      </c>
      <c r="AW4" s="63">
        <v>0</v>
      </c>
      <c r="AX4" s="63">
        <v>0</v>
      </c>
      <c r="AY4" s="63">
        <v>0</v>
      </c>
      <c r="AZ4" s="63">
        <v>0</v>
      </c>
      <c r="BA4" s="63">
        <v>0</v>
      </c>
      <c r="BB4" s="63">
        <v>0</v>
      </c>
      <c r="BC4" s="63">
        <v>0</v>
      </c>
      <c r="BD4" s="63">
        <v>0</v>
      </c>
      <c r="BE4" s="63">
        <v>0</v>
      </c>
      <c r="BF4" s="63">
        <v>0</v>
      </c>
      <c r="BG4" s="63">
        <v>0</v>
      </c>
      <c r="BH4" s="63">
        <v>0</v>
      </c>
      <c r="BI4" s="63">
        <v>0</v>
      </c>
      <c r="BJ4" s="63">
        <v>0</v>
      </c>
      <c r="BL4" s="40">
        <v>39041</v>
      </c>
      <c r="BM4" s="43">
        <f t="shared" ref="BM4:BM67" si="5">+T4-AU4</f>
        <v>0</v>
      </c>
      <c r="BN4" s="43">
        <f t="shared" ref="BN4:BN67" si="6">+U4-AV4</f>
        <v>0</v>
      </c>
      <c r="BO4" s="43">
        <f t="shared" ref="BO4:BO67" si="7">+V4-AW4</f>
        <v>0</v>
      </c>
      <c r="BP4" s="43">
        <f t="shared" ref="BP4:BP67" si="8">+W4-AX4</f>
        <v>0</v>
      </c>
      <c r="BQ4" s="43">
        <f t="shared" ref="BQ4:BQ67" si="9">+X4-AY4</f>
        <v>0</v>
      </c>
      <c r="BR4" s="43">
        <f t="shared" ref="BR4:BR67" si="10">+Y4-AZ4</f>
        <v>0</v>
      </c>
      <c r="BS4" s="43">
        <f t="shared" ref="BS4:BS67" si="11">+Z4-BA4</f>
        <v>0</v>
      </c>
      <c r="BT4" s="43">
        <f t="shared" ref="BT4:BT67" si="12">+AA4-BB4</f>
        <v>0</v>
      </c>
      <c r="BU4" s="43">
        <f t="shared" ref="BU4:BU67" si="13">+AB4-BC4</f>
        <v>0</v>
      </c>
      <c r="BV4" s="43">
        <f t="shared" ref="BV4:BV67" si="14">+AC4-BD4</f>
        <v>0</v>
      </c>
      <c r="BW4" s="43">
        <f t="shared" ref="BW4:BW67" si="15">+AD4-BE4</f>
        <v>0</v>
      </c>
      <c r="BX4" s="43">
        <f t="shared" ref="BX4:BX67" si="16">+AE4-BF4</f>
        <v>0</v>
      </c>
      <c r="BY4" s="43">
        <f t="shared" ref="BY4:BY67" si="17">+AF4-BG4</f>
        <v>0</v>
      </c>
      <c r="BZ4" s="43">
        <f t="shared" ref="BZ4:BZ67" si="18">+AG4-BH4</f>
        <v>0</v>
      </c>
      <c r="CA4" s="43">
        <f t="shared" ref="CA4:CA67" si="19">+AH4-BI4</f>
        <v>0</v>
      </c>
      <c r="CB4" s="43">
        <f t="shared" ref="CB4:CB67" si="20">+AI4-BJ4</f>
        <v>0</v>
      </c>
      <c r="CC4" s="40">
        <v>39041</v>
      </c>
      <c r="CD4" s="43">
        <f>+BM4</f>
        <v>0</v>
      </c>
      <c r="CE4" s="43">
        <f t="shared" ref="CE4:CS4" si="21">+BN4</f>
        <v>0</v>
      </c>
      <c r="CF4" s="43">
        <f t="shared" si="21"/>
        <v>0</v>
      </c>
      <c r="CG4" s="43">
        <f t="shared" si="21"/>
        <v>0</v>
      </c>
      <c r="CH4" s="43">
        <f t="shared" si="21"/>
        <v>0</v>
      </c>
      <c r="CI4" s="43">
        <f t="shared" si="21"/>
        <v>0</v>
      </c>
      <c r="CJ4" s="43">
        <f t="shared" si="21"/>
        <v>0</v>
      </c>
      <c r="CK4" s="43">
        <f t="shared" si="21"/>
        <v>0</v>
      </c>
      <c r="CL4" s="43">
        <f t="shared" si="21"/>
        <v>0</v>
      </c>
      <c r="CM4" s="43">
        <f t="shared" si="21"/>
        <v>0</v>
      </c>
      <c r="CN4" s="43">
        <f t="shared" si="21"/>
        <v>0</v>
      </c>
      <c r="CO4" s="43">
        <f t="shared" si="21"/>
        <v>0</v>
      </c>
      <c r="CP4" s="43">
        <f t="shared" si="21"/>
        <v>0</v>
      </c>
      <c r="CQ4" s="43">
        <f t="shared" si="21"/>
        <v>0</v>
      </c>
      <c r="CR4" s="43">
        <f t="shared" si="21"/>
        <v>0</v>
      </c>
      <c r="CS4" s="43">
        <f t="shared" si="21"/>
        <v>0</v>
      </c>
      <c r="CT4" s="64">
        <f>+SUM(CD4:CS4)</f>
        <v>0</v>
      </c>
      <c r="CV4" s="40">
        <v>39041</v>
      </c>
      <c r="CW4" s="99">
        <f>+CW$3-SUM(AU$4:AU4)</f>
        <v>1001634245.35</v>
      </c>
      <c r="CX4" s="99">
        <f t="shared" ref="CX4:DL4" si="22">+CX$3-AV4</f>
        <v>305205258.92000002</v>
      </c>
      <c r="CY4" s="99">
        <f t="shared" si="22"/>
        <v>610000000</v>
      </c>
      <c r="CZ4" s="99">
        <f t="shared" si="22"/>
        <v>1368548684.7</v>
      </c>
      <c r="DA4" s="99">
        <f t="shared" si="22"/>
        <v>1139656560.24</v>
      </c>
      <c r="DB4" s="99">
        <f t="shared" si="22"/>
        <v>547472191.47000003</v>
      </c>
      <c r="DC4" s="99">
        <f t="shared" si="22"/>
        <v>500000000</v>
      </c>
      <c r="DD4" s="99">
        <f t="shared" si="22"/>
        <v>44546365.119999997</v>
      </c>
      <c r="DE4" s="99">
        <f t="shared" si="22"/>
        <v>112020391.73999999</v>
      </c>
      <c r="DF4" s="99">
        <f t="shared" si="22"/>
        <v>23000000</v>
      </c>
      <c r="DG4" s="99">
        <f t="shared" si="22"/>
        <v>39274605.939999998</v>
      </c>
      <c r="DH4" s="99">
        <f t="shared" si="22"/>
        <v>61041051.780000001</v>
      </c>
      <c r="DI4" s="99">
        <f t="shared" si="22"/>
        <v>56000000</v>
      </c>
      <c r="DJ4" s="99">
        <f t="shared" si="22"/>
        <v>36902314.299999997</v>
      </c>
      <c r="DK4" s="99">
        <f t="shared" si="22"/>
        <v>141534746.44</v>
      </c>
      <c r="DL4" s="99">
        <f t="shared" si="22"/>
        <v>20000000</v>
      </c>
    </row>
    <row r="5" spans="1:116">
      <c r="A5" s="40">
        <v>39071</v>
      </c>
      <c r="B5" s="188">
        <v>1001634245.3476725</v>
      </c>
      <c r="C5" s="188">
        <v>305205258.92138451</v>
      </c>
      <c r="D5" s="188">
        <v>610000000</v>
      </c>
      <c r="E5" s="188">
        <v>1368548684.6960831</v>
      </c>
      <c r="F5" s="188">
        <v>1139656560.236115</v>
      </c>
      <c r="G5" s="188">
        <v>547472191.47029364</v>
      </c>
      <c r="H5" s="71">
        <v>500000000</v>
      </c>
      <c r="I5" s="71">
        <v>44546365.122041218</v>
      </c>
      <c r="J5" s="71">
        <v>112020391.73598069</v>
      </c>
      <c r="K5" s="71">
        <v>23000000</v>
      </c>
      <c r="L5" s="71">
        <v>39274605.936000846</v>
      </c>
      <c r="M5" s="71">
        <v>61041051.784276903</v>
      </c>
      <c r="N5" s="71">
        <v>56000000</v>
      </c>
      <c r="O5" s="71">
        <v>36902314.302282669</v>
      </c>
      <c r="P5" s="71">
        <v>141534746.44486183</v>
      </c>
      <c r="Q5" s="71">
        <v>20000000</v>
      </c>
      <c r="R5" s="187">
        <f t="shared" si="2"/>
        <v>6006836415.9969931</v>
      </c>
      <c r="S5" s="40">
        <v>39071</v>
      </c>
      <c r="T5" s="82">
        <f t="shared" ref="T5:T68" si="23">+ROUND(B4-B5,2)</f>
        <v>0</v>
      </c>
      <c r="U5" s="82">
        <f t="shared" ref="U5:U68" si="24">+ROUND(C4-C5,2)</f>
        <v>0</v>
      </c>
      <c r="V5" s="82">
        <f t="shared" ref="V5:V68" si="25">+ROUND(D4-D5,2)</f>
        <v>0</v>
      </c>
      <c r="W5" s="82">
        <f t="shared" ref="W5:W68" si="26">+ROUND(E4-E5,2)</f>
        <v>0</v>
      </c>
      <c r="X5" s="82">
        <f t="shared" ref="X5:X68" si="27">+ROUND(F4-F5,2)</f>
        <v>0</v>
      </c>
      <c r="Y5" s="82">
        <f t="shared" ref="Y5:Y68" si="28">+ROUND(G4-G5,2)</f>
        <v>0</v>
      </c>
      <c r="Z5" s="82">
        <f t="shared" ref="Z5:Z68" si="29">+ROUND(H4-H5,2)</f>
        <v>0</v>
      </c>
      <c r="AA5" s="82">
        <f t="shared" ref="AA5:AA68" si="30">+ROUND(I4-I5,2)</f>
        <v>0</v>
      </c>
      <c r="AB5" s="82">
        <f t="shared" ref="AB5:AB68" si="31">+ROUND(J4-J5,2)</f>
        <v>0</v>
      </c>
      <c r="AC5" s="82">
        <f t="shared" ref="AC5:AC68" si="32">+ROUND(K4-K5,2)</f>
        <v>0</v>
      </c>
      <c r="AD5" s="82">
        <f t="shared" ref="AD5:AD68" si="33">+ROUND(L4-L5,2)</f>
        <v>0</v>
      </c>
      <c r="AE5" s="82">
        <f t="shared" ref="AE5:AE68" si="34">+ROUND(M4-M5,2)</f>
        <v>0</v>
      </c>
      <c r="AF5" s="82">
        <f t="shared" ref="AF5:AF68" si="35">+ROUND(N4-N5,2)</f>
        <v>0</v>
      </c>
      <c r="AG5" s="82">
        <f t="shared" ref="AG5:AG68" si="36">+ROUND(O4-O5,2)</f>
        <v>0</v>
      </c>
      <c r="AH5" s="82">
        <f t="shared" ref="AH5:AH68" si="37">+ROUND(P4-P5,2)</f>
        <v>0</v>
      </c>
      <c r="AI5" s="82">
        <f t="shared" ref="AI5:AI68" si="38">+ROUND(Q4-Q5,2)</f>
        <v>0</v>
      </c>
      <c r="AJ5" s="82">
        <f t="shared" ref="AJ5:AJ68" si="39">+ROUND(SUM(T5:AI5),2)</f>
        <v>0</v>
      </c>
      <c r="AK5" s="42"/>
      <c r="AL5" s="40">
        <v>39071</v>
      </c>
      <c r="AM5" s="43">
        <f t="shared" ref="AM5:AM68" si="40">+SUM(B5:H5)</f>
        <v>5472516940.6715498</v>
      </c>
      <c r="AN5" s="43">
        <f t="shared" ref="AN5:AN68" si="41">+SUM(I5:K5)</f>
        <v>179566756.85802191</v>
      </c>
      <c r="AO5" s="43">
        <f t="shared" ref="AO5:AO68" si="42">+SUM(L5:N5)</f>
        <v>156315657.72027776</v>
      </c>
      <c r="AP5" s="43">
        <f t="shared" ref="AP5:AP68" si="43">+SUM(O5:Q5)</f>
        <v>198437060.74714449</v>
      </c>
      <c r="AQ5" s="43">
        <f t="shared" si="4"/>
        <v>6006836415.996994</v>
      </c>
      <c r="AT5" s="40">
        <v>39071</v>
      </c>
      <c r="AU5" s="63">
        <v>0</v>
      </c>
      <c r="AV5" s="63">
        <v>0</v>
      </c>
      <c r="AW5" s="63">
        <v>0</v>
      </c>
      <c r="AX5" s="63">
        <v>0</v>
      </c>
      <c r="AY5" s="63">
        <v>0</v>
      </c>
      <c r="AZ5" s="63">
        <v>0</v>
      </c>
      <c r="BA5" s="63">
        <v>0</v>
      </c>
      <c r="BB5" s="63">
        <v>0</v>
      </c>
      <c r="BC5" s="63">
        <v>0</v>
      </c>
      <c r="BD5" s="63">
        <v>0</v>
      </c>
      <c r="BE5" s="63">
        <v>0</v>
      </c>
      <c r="BF5" s="63">
        <v>0</v>
      </c>
      <c r="BG5" s="63">
        <v>0</v>
      </c>
      <c r="BH5" s="63">
        <v>0</v>
      </c>
      <c r="BI5" s="63">
        <v>0</v>
      </c>
      <c r="BJ5" s="63">
        <v>0</v>
      </c>
      <c r="BL5" s="40">
        <v>39071</v>
      </c>
      <c r="BM5" s="43">
        <f>+T5-AU5</f>
        <v>0</v>
      </c>
      <c r="BN5" s="43">
        <f t="shared" si="6"/>
        <v>0</v>
      </c>
      <c r="BO5" s="43">
        <f t="shared" si="7"/>
        <v>0</v>
      </c>
      <c r="BP5" s="43">
        <f t="shared" si="8"/>
        <v>0</v>
      </c>
      <c r="BQ5" s="43">
        <f t="shared" si="9"/>
        <v>0</v>
      </c>
      <c r="BR5" s="43">
        <f t="shared" si="10"/>
        <v>0</v>
      </c>
      <c r="BS5" s="43">
        <f t="shared" si="11"/>
        <v>0</v>
      </c>
      <c r="BT5" s="43">
        <f t="shared" si="12"/>
        <v>0</v>
      </c>
      <c r="BU5" s="43">
        <f t="shared" si="13"/>
        <v>0</v>
      </c>
      <c r="BV5" s="43">
        <f t="shared" si="14"/>
        <v>0</v>
      </c>
      <c r="BW5" s="43">
        <f t="shared" si="15"/>
        <v>0</v>
      </c>
      <c r="BX5" s="43">
        <f t="shared" si="16"/>
        <v>0</v>
      </c>
      <c r="BY5" s="43">
        <f t="shared" si="17"/>
        <v>0</v>
      </c>
      <c r="BZ5" s="43">
        <f t="shared" si="18"/>
        <v>0</v>
      </c>
      <c r="CA5" s="43">
        <f t="shared" si="19"/>
        <v>0</v>
      </c>
      <c r="CB5" s="43">
        <f t="shared" si="20"/>
        <v>0</v>
      </c>
      <c r="CC5" s="40">
        <v>39071</v>
      </c>
      <c r="CD5" s="43">
        <f t="shared" ref="CD5:CD36" si="44">+CD4+BM5</f>
        <v>0</v>
      </c>
      <c r="CE5" s="43">
        <f t="shared" ref="CE5:CE36" si="45">+CE4+BN5</f>
        <v>0</v>
      </c>
      <c r="CF5" s="43">
        <f t="shared" ref="CF5:CF36" si="46">+CF4+BO5</f>
        <v>0</v>
      </c>
      <c r="CG5" s="43">
        <f t="shared" ref="CG5:CG36" si="47">+CG4+BP5</f>
        <v>0</v>
      </c>
      <c r="CH5" s="43">
        <f t="shared" ref="CH5:CH36" si="48">+CH4+BQ5</f>
        <v>0</v>
      </c>
      <c r="CI5" s="43">
        <f t="shared" ref="CI5:CI36" si="49">+CI4+BR5</f>
        <v>0</v>
      </c>
      <c r="CJ5" s="43">
        <f t="shared" ref="CJ5:CJ36" si="50">+CJ4+BS5</f>
        <v>0</v>
      </c>
      <c r="CK5" s="43">
        <f t="shared" ref="CK5:CK36" si="51">+CK4+BT5</f>
        <v>0</v>
      </c>
      <c r="CL5" s="43">
        <f t="shared" ref="CL5:CL36" si="52">+CL4+BU5</f>
        <v>0</v>
      </c>
      <c r="CM5" s="43">
        <f t="shared" ref="CM5:CM36" si="53">+CM4+BV5</f>
        <v>0</v>
      </c>
      <c r="CN5" s="43">
        <f t="shared" ref="CN5:CN36" si="54">+CN4+BW5</f>
        <v>0</v>
      </c>
      <c r="CO5" s="43">
        <f t="shared" ref="CO5:CO36" si="55">+CO4+BX5</f>
        <v>0</v>
      </c>
      <c r="CP5" s="43">
        <f t="shared" ref="CP5:CP36" si="56">+CP4+BY5</f>
        <v>0</v>
      </c>
      <c r="CQ5" s="43">
        <f t="shared" ref="CQ5:CQ36" si="57">+CQ4+BZ5</f>
        <v>0</v>
      </c>
      <c r="CR5" s="43">
        <f t="shared" ref="CR5:CR36" si="58">+CR4+CA5</f>
        <v>0</v>
      </c>
      <c r="CS5" s="43">
        <f t="shared" ref="CS5:CS36" si="59">+CS4+CB5</f>
        <v>0</v>
      </c>
      <c r="CT5" s="64">
        <f t="shared" ref="CT5:CT68" si="60">+SUM(CD5:CS5)</f>
        <v>0</v>
      </c>
      <c r="CV5" s="40">
        <v>39071</v>
      </c>
      <c r="CW5" s="99">
        <f>+CW$3-SUM(AU$4:AU5)</f>
        <v>1001634245.35</v>
      </c>
      <c r="CX5" s="99">
        <f>+CX$3-SUM(AV$4:AV5)</f>
        <v>305205258.92000002</v>
      </c>
      <c r="CY5" s="99">
        <f>+CY$3-SUM(AW$4:AW5)</f>
        <v>610000000</v>
      </c>
      <c r="CZ5" s="99">
        <f>+CZ$3-SUM(AX$4:AX5)</f>
        <v>1368548684.7</v>
      </c>
      <c r="DA5" s="99">
        <f>+DA$3-SUM(AY$4:AY5)</f>
        <v>1139656560.24</v>
      </c>
      <c r="DB5" s="99">
        <f>+DB$3-SUM(AZ$4:AZ5)</f>
        <v>547472191.47000003</v>
      </c>
      <c r="DC5" s="99">
        <f>+DC$3-SUM(BA$4:BA5)</f>
        <v>500000000</v>
      </c>
      <c r="DD5" s="99">
        <f>+DD$3-SUM(BB$4:BB5)</f>
        <v>44546365.119999997</v>
      </c>
      <c r="DE5" s="99">
        <f>+DE$3-SUM(BC$4:BC5)</f>
        <v>112020391.73999999</v>
      </c>
      <c r="DF5" s="99">
        <f>+DF$3-SUM(BD$4:BD5)</f>
        <v>23000000</v>
      </c>
      <c r="DG5" s="99">
        <f>+DG$3-SUM(BE$4:BE5)</f>
        <v>39274605.939999998</v>
      </c>
      <c r="DH5" s="99">
        <f>+DH$3-SUM(BF$4:BF5)</f>
        <v>61041051.780000001</v>
      </c>
      <c r="DI5" s="99">
        <f>+DI$3-SUM(BG$4:BG5)</f>
        <v>56000000</v>
      </c>
      <c r="DJ5" s="99">
        <f>+DJ$3-SUM(BH$4:BH5)</f>
        <v>36902314.299999997</v>
      </c>
      <c r="DK5" s="99">
        <f>+DK$3-SUM(BI$4:BI5)</f>
        <v>141534746.44</v>
      </c>
      <c r="DL5" s="99">
        <f>+DL$3-SUM(BJ$4:BJ5)</f>
        <v>20000000</v>
      </c>
    </row>
    <row r="6" spans="1:116" s="106" customFormat="1">
      <c r="A6" s="391">
        <v>39102</v>
      </c>
      <c r="B6" s="392">
        <v>1001634245.3476725</v>
      </c>
      <c r="C6" s="392">
        <v>305205258.92138451</v>
      </c>
      <c r="D6" s="392">
        <v>610000000</v>
      </c>
      <c r="E6" s="392">
        <v>1368548684.6960831</v>
      </c>
      <c r="F6" s="392">
        <v>1139656560.236115</v>
      </c>
      <c r="G6" s="392">
        <v>547472191.47029364</v>
      </c>
      <c r="H6" s="393">
        <v>500000000</v>
      </c>
      <c r="I6" s="393">
        <v>44546365.122041218</v>
      </c>
      <c r="J6" s="393">
        <v>112020391.73598069</v>
      </c>
      <c r="K6" s="393">
        <v>23000000</v>
      </c>
      <c r="L6" s="393">
        <v>39274605.936000846</v>
      </c>
      <c r="M6" s="393">
        <v>61041051.784276903</v>
      </c>
      <c r="N6" s="393">
        <v>56000000</v>
      </c>
      <c r="O6" s="393">
        <v>36902314.302282669</v>
      </c>
      <c r="P6" s="393">
        <v>141534746.44486183</v>
      </c>
      <c r="Q6" s="393">
        <v>20000000</v>
      </c>
      <c r="R6" s="394">
        <f t="shared" si="2"/>
        <v>6006836415.9969931</v>
      </c>
      <c r="S6" s="391">
        <v>39102</v>
      </c>
      <c r="T6" s="395">
        <f t="shared" si="23"/>
        <v>0</v>
      </c>
      <c r="U6" s="395">
        <f t="shared" si="24"/>
        <v>0</v>
      </c>
      <c r="V6" s="395">
        <f t="shared" si="25"/>
        <v>0</v>
      </c>
      <c r="W6" s="395">
        <f t="shared" si="26"/>
        <v>0</v>
      </c>
      <c r="X6" s="395">
        <f t="shared" si="27"/>
        <v>0</v>
      </c>
      <c r="Y6" s="395">
        <f t="shared" si="28"/>
        <v>0</v>
      </c>
      <c r="Z6" s="395">
        <f t="shared" si="29"/>
        <v>0</v>
      </c>
      <c r="AA6" s="395">
        <f t="shared" si="30"/>
        <v>0</v>
      </c>
      <c r="AB6" s="395">
        <f t="shared" si="31"/>
        <v>0</v>
      </c>
      <c r="AC6" s="395">
        <f t="shared" si="32"/>
        <v>0</v>
      </c>
      <c r="AD6" s="395">
        <f t="shared" si="33"/>
        <v>0</v>
      </c>
      <c r="AE6" s="395">
        <f t="shared" si="34"/>
        <v>0</v>
      </c>
      <c r="AF6" s="395">
        <f t="shared" si="35"/>
        <v>0</v>
      </c>
      <c r="AG6" s="395">
        <f t="shared" si="36"/>
        <v>0</v>
      </c>
      <c r="AH6" s="395">
        <f t="shared" si="37"/>
        <v>0</v>
      </c>
      <c r="AI6" s="395">
        <f t="shared" si="38"/>
        <v>0</v>
      </c>
      <c r="AJ6" s="395">
        <f t="shared" si="39"/>
        <v>0</v>
      </c>
      <c r="AK6" s="396"/>
      <c r="AL6" s="391">
        <v>39102</v>
      </c>
      <c r="AM6" s="397">
        <f t="shared" si="40"/>
        <v>5472516940.6715498</v>
      </c>
      <c r="AN6" s="397">
        <f t="shared" si="41"/>
        <v>179566756.85802191</v>
      </c>
      <c r="AO6" s="397">
        <f t="shared" si="42"/>
        <v>156315657.72027776</v>
      </c>
      <c r="AP6" s="397">
        <f t="shared" si="43"/>
        <v>198437060.74714449</v>
      </c>
      <c r="AQ6" s="397">
        <f t="shared" si="4"/>
        <v>6006836415.996994</v>
      </c>
      <c r="AR6" s="353"/>
      <c r="AT6" s="391">
        <v>39102</v>
      </c>
      <c r="AU6" s="63">
        <v>0</v>
      </c>
      <c r="AV6" s="63">
        <v>0</v>
      </c>
      <c r="AW6" s="63">
        <v>0</v>
      </c>
      <c r="AX6" s="63">
        <v>0</v>
      </c>
      <c r="AY6" s="63">
        <v>0</v>
      </c>
      <c r="AZ6" s="63">
        <v>0</v>
      </c>
      <c r="BA6" s="63">
        <v>0</v>
      </c>
      <c r="BB6" s="63">
        <v>0</v>
      </c>
      <c r="BC6" s="63">
        <v>0</v>
      </c>
      <c r="BD6" s="63">
        <v>0</v>
      </c>
      <c r="BE6" s="63">
        <v>0</v>
      </c>
      <c r="BF6" s="63">
        <v>0</v>
      </c>
      <c r="BG6" s="63">
        <v>0</v>
      </c>
      <c r="BH6" s="63">
        <v>0</v>
      </c>
      <c r="BI6" s="63">
        <v>0</v>
      </c>
      <c r="BJ6" s="63">
        <v>0</v>
      </c>
      <c r="BL6" s="391">
        <v>39102</v>
      </c>
      <c r="BM6" s="397">
        <f>+T6-AU6</f>
        <v>0</v>
      </c>
      <c r="BN6" s="397">
        <f t="shared" si="6"/>
        <v>0</v>
      </c>
      <c r="BO6" s="397">
        <f t="shared" si="7"/>
        <v>0</v>
      </c>
      <c r="BP6" s="397">
        <f t="shared" si="8"/>
        <v>0</v>
      </c>
      <c r="BQ6" s="397">
        <f t="shared" si="9"/>
        <v>0</v>
      </c>
      <c r="BR6" s="397">
        <f t="shared" si="10"/>
        <v>0</v>
      </c>
      <c r="BS6" s="397">
        <f t="shared" si="11"/>
        <v>0</v>
      </c>
      <c r="BT6" s="397">
        <f t="shared" si="12"/>
        <v>0</v>
      </c>
      <c r="BU6" s="397">
        <f t="shared" si="13"/>
        <v>0</v>
      </c>
      <c r="BV6" s="397">
        <f t="shared" si="14"/>
        <v>0</v>
      </c>
      <c r="BW6" s="397">
        <f t="shared" si="15"/>
        <v>0</v>
      </c>
      <c r="BX6" s="397">
        <f t="shared" si="16"/>
        <v>0</v>
      </c>
      <c r="BY6" s="397">
        <f t="shared" si="17"/>
        <v>0</v>
      </c>
      <c r="BZ6" s="397">
        <f t="shared" si="18"/>
        <v>0</v>
      </c>
      <c r="CA6" s="397">
        <f t="shared" si="19"/>
        <v>0</v>
      </c>
      <c r="CB6" s="397">
        <f t="shared" si="20"/>
        <v>0</v>
      </c>
      <c r="CC6" s="391">
        <v>39102</v>
      </c>
      <c r="CD6" s="397">
        <f t="shared" si="44"/>
        <v>0</v>
      </c>
      <c r="CE6" s="397">
        <f t="shared" si="45"/>
        <v>0</v>
      </c>
      <c r="CF6" s="397">
        <f t="shared" si="46"/>
        <v>0</v>
      </c>
      <c r="CG6" s="397">
        <f t="shared" si="47"/>
        <v>0</v>
      </c>
      <c r="CH6" s="397">
        <f t="shared" si="48"/>
        <v>0</v>
      </c>
      <c r="CI6" s="397">
        <f t="shared" si="49"/>
        <v>0</v>
      </c>
      <c r="CJ6" s="397">
        <f t="shared" si="50"/>
        <v>0</v>
      </c>
      <c r="CK6" s="397">
        <f t="shared" si="51"/>
        <v>0</v>
      </c>
      <c r="CL6" s="397">
        <f t="shared" si="52"/>
        <v>0</v>
      </c>
      <c r="CM6" s="397">
        <f t="shared" si="53"/>
        <v>0</v>
      </c>
      <c r="CN6" s="397">
        <f t="shared" si="54"/>
        <v>0</v>
      </c>
      <c r="CO6" s="397">
        <f t="shared" si="55"/>
        <v>0</v>
      </c>
      <c r="CP6" s="397">
        <f t="shared" si="56"/>
        <v>0</v>
      </c>
      <c r="CQ6" s="397">
        <f t="shared" si="57"/>
        <v>0</v>
      </c>
      <c r="CR6" s="397">
        <f t="shared" si="58"/>
        <v>0</v>
      </c>
      <c r="CS6" s="397">
        <f t="shared" si="59"/>
        <v>0</v>
      </c>
      <c r="CT6" s="398">
        <f t="shared" si="60"/>
        <v>0</v>
      </c>
      <c r="CV6" s="391">
        <v>39102</v>
      </c>
      <c r="CW6" s="399">
        <f>+CW$3-SUM(AU$4:AU6)</f>
        <v>1001634245.35</v>
      </c>
      <c r="CX6" s="399">
        <f>+CX$3-SUM(AV$4:AV6)</f>
        <v>305205258.92000002</v>
      </c>
      <c r="CY6" s="399">
        <f>+CY$3-SUM(AW$4:AW6)</f>
        <v>610000000</v>
      </c>
      <c r="CZ6" s="399">
        <f>+CZ$3-SUM(AX$4:AX6)</f>
        <v>1368548684.7</v>
      </c>
      <c r="DA6" s="399">
        <f>+DA$3-SUM(AY$4:AY6)</f>
        <v>1139656560.24</v>
      </c>
      <c r="DB6" s="399">
        <f>+DB$3-SUM(AZ$4:AZ6)</f>
        <v>547472191.47000003</v>
      </c>
      <c r="DC6" s="399">
        <f>+DC$3-SUM(BA$4:BA6)</f>
        <v>500000000</v>
      </c>
      <c r="DD6" s="399">
        <f>+DD$3-SUM(BB$4:BB6)</f>
        <v>44546365.119999997</v>
      </c>
      <c r="DE6" s="399">
        <f>+DE$3-SUM(BC$4:BC6)</f>
        <v>112020391.73999999</v>
      </c>
      <c r="DF6" s="399">
        <f>+DF$3-SUM(BD$4:BD6)</f>
        <v>23000000</v>
      </c>
      <c r="DG6" s="399">
        <f>+DG$3-SUM(BE$4:BE6)</f>
        <v>39274605.939999998</v>
      </c>
      <c r="DH6" s="399">
        <f>+DH$3-SUM(BF$4:BF6)</f>
        <v>61041051.780000001</v>
      </c>
      <c r="DI6" s="399">
        <f>+DI$3-SUM(BG$4:BG6)</f>
        <v>56000000</v>
      </c>
      <c r="DJ6" s="399">
        <f>+DJ$3-SUM(BH$4:BH6)</f>
        <v>36902314.299999997</v>
      </c>
      <c r="DK6" s="399">
        <f>+DK$3-SUM(BI$4:BI6)</f>
        <v>141534746.44</v>
      </c>
      <c r="DL6" s="399">
        <f>+DL$3-SUM(BJ$4:BJ6)</f>
        <v>20000000</v>
      </c>
    </row>
    <row r="7" spans="1:116" s="106" customFormat="1">
      <c r="A7" s="391">
        <v>39133</v>
      </c>
      <c r="B7" s="392">
        <v>776451935.06481624</v>
      </c>
      <c r="C7" s="392">
        <v>236590566.84829226</v>
      </c>
      <c r="D7" s="392">
        <v>472862906.38469189</v>
      </c>
      <c r="E7" s="392">
        <v>1368548684.6960831</v>
      </c>
      <c r="F7" s="392">
        <v>1139656560.236115</v>
      </c>
      <c r="G7" s="392">
        <v>547472191.47029364</v>
      </c>
      <c r="H7" s="393">
        <v>500000000</v>
      </c>
      <c r="I7" s="393">
        <v>44546365.122041218</v>
      </c>
      <c r="J7" s="393">
        <v>112020391.73598069</v>
      </c>
      <c r="K7" s="393">
        <v>23000000</v>
      </c>
      <c r="L7" s="393">
        <v>39274605.936000846</v>
      </c>
      <c r="M7" s="393">
        <v>61041051.784276903</v>
      </c>
      <c r="N7" s="393">
        <v>56000000</v>
      </c>
      <c r="O7" s="393">
        <v>36902314.302282669</v>
      </c>
      <c r="P7" s="393">
        <v>141534746.44486183</v>
      </c>
      <c r="Q7" s="393">
        <v>20000000</v>
      </c>
      <c r="R7" s="394">
        <f t="shared" si="2"/>
        <v>5575902320.0257349</v>
      </c>
      <c r="S7" s="391">
        <v>39133</v>
      </c>
      <c r="T7" s="395">
        <f t="shared" si="23"/>
        <v>225182310.28</v>
      </c>
      <c r="U7" s="395">
        <f t="shared" si="24"/>
        <v>68614692.069999993</v>
      </c>
      <c r="V7" s="395">
        <f t="shared" si="25"/>
        <v>137137093.62</v>
      </c>
      <c r="W7" s="395">
        <f t="shared" si="26"/>
        <v>0</v>
      </c>
      <c r="X7" s="395">
        <f t="shared" si="27"/>
        <v>0</v>
      </c>
      <c r="Y7" s="395">
        <f t="shared" si="28"/>
        <v>0</v>
      </c>
      <c r="Z7" s="395">
        <f t="shared" si="29"/>
        <v>0</v>
      </c>
      <c r="AA7" s="395">
        <f t="shared" si="30"/>
        <v>0</v>
      </c>
      <c r="AB7" s="395">
        <f t="shared" si="31"/>
        <v>0</v>
      </c>
      <c r="AC7" s="395">
        <f t="shared" si="32"/>
        <v>0</v>
      </c>
      <c r="AD7" s="395">
        <f t="shared" si="33"/>
        <v>0</v>
      </c>
      <c r="AE7" s="395">
        <f t="shared" si="34"/>
        <v>0</v>
      </c>
      <c r="AF7" s="395">
        <f t="shared" si="35"/>
        <v>0</v>
      </c>
      <c r="AG7" s="395">
        <f t="shared" si="36"/>
        <v>0</v>
      </c>
      <c r="AH7" s="395">
        <f t="shared" si="37"/>
        <v>0</v>
      </c>
      <c r="AI7" s="395">
        <f t="shared" si="38"/>
        <v>0</v>
      </c>
      <c r="AJ7" s="395">
        <f t="shared" si="39"/>
        <v>430934095.97000003</v>
      </c>
      <c r="AK7" s="396"/>
      <c r="AL7" s="391">
        <v>39133</v>
      </c>
      <c r="AM7" s="397">
        <f>+SUM(B7:H7)</f>
        <v>5041582844.7002916</v>
      </c>
      <c r="AN7" s="397">
        <f t="shared" si="41"/>
        <v>179566756.85802191</v>
      </c>
      <c r="AO7" s="397">
        <f t="shared" si="42"/>
        <v>156315657.72027776</v>
      </c>
      <c r="AP7" s="397">
        <f t="shared" si="43"/>
        <v>198437060.74714449</v>
      </c>
      <c r="AQ7" s="397">
        <f t="shared" si="4"/>
        <v>5575902320.0257359</v>
      </c>
      <c r="AR7" s="353"/>
      <c r="AT7" s="391">
        <v>39133</v>
      </c>
      <c r="AU7" s="85">
        <v>225182310.28</v>
      </c>
      <c r="AV7" s="85">
        <v>68614692.070000023</v>
      </c>
      <c r="AW7" s="85">
        <v>137137093.62</v>
      </c>
      <c r="AX7" s="63"/>
      <c r="AY7" s="63">
        <v>0</v>
      </c>
      <c r="AZ7" s="63">
        <v>0</v>
      </c>
      <c r="BA7" s="63" t="e">
        <f>+#REF!</f>
        <v>#REF!</v>
      </c>
      <c r="BB7" s="63">
        <v>0</v>
      </c>
      <c r="BC7" s="63">
        <v>0</v>
      </c>
      <c r="BD7" s="63">
        <v>0</v>
      </c>
      <c r="BE7" s="63">
        <v>0</v>
      </c>
      <c r="BF7" s="63">
        <v>0</v>
      </c>
      <c r="BG7" s="63">
        <v>0</v>
      </c>
      <c r="BH7" s="63">
        <v>0</v>
      </c>
      <c r="BI7" s="63">
        <v>0</v>
      </c>
      <c r="BJ7" s="63">
        <v>0</v>
      </c>
      <c r="BL7" s="391">
        <v>39133</v>
      </c>
      <c r="BM7" s="397">
        <f>+T7-AU7</f>
        <v>0</v>
      </c>
      <c r="BN7" s="397">
        <f t="shared" si="6"/>
        <v>0</v>
      </c>
      <c r="BO7" s="397">
        <f t="shared" si="7"/>
        <v>0</v>
      </c>
      <c r="BP7" s="397">
        <f t="shared" si="8"/>
        <v>0</v>
      </c>
      <c r="BQ7" s="397">
        <f t="shared" si="9"/>
        <v>0</v>
      </c>
      <c r="BR7" s="397">
        <f t="shared" si="10"/>
        <v>0</v>
      </c>
      <c r="BS7" s="397" t="e">
        <f t="shared" si="11"/>
        <v>#REF!</v>
      </c>
      <c r="BT7" s="397">
        <f t="shared" si="12"/>
        <v>0</v>
      </c>
      <c r="BU7" s="397">
        <f t="shared" si="13"/>
        <v>0</v>
      </c>
      <c r="BV7" s="397">
        <f t="shared" si="14"/>
        <v>0</v>
      </c>
      <c r="BW7" s="397">
        <f t="shared" si="15"/>
        <v>0</v>
      </c>
      <c r="BX7" s="397">
        <f t="shared" si="16"/>
        <v>0</v>
      </c>
      <c r="BY7" s="397">
        <f t="shared" si="17"/>
        <v>0</v>
      </c>
      <c r="BZ7" s="397">
        <f t="shared" si="18"/>
        <v>0</v>
      </c>
      <c r="CA7" s="397">
        <f t="shared" si="19"/>
        <v>0</v>
      </c>
      <c r="CB7" s="397">
        <f t="shared" si="20"/>
        <v>0</v>
      </c>
      <c r="CC7" s="391">
        <v>39133</v>
      </c>
      <c r="CD7" s="693">
        <f>+CD6+BM7</f>
        <v>0</v>
      </c>
      <c r="CE7" s="397">
        <f t="shared" si="45"/>
        <v>0</v>
      </c>
      <c r="CF7" s="397">
        <f t="shared" si="46"/>
        <v>0</v>
      </c>
      <c r="CG7" s="397">
        <f t="shared" si="47"/>
        <v>0</v>
      </c>
      <c r="CH7" s="397">
        <f t="shared" si="48"/>
        <v>0</v>
      </c>
      <c r="CI7" s="397">
        <f t="shared" si="49"/>
        <v>0</v>
      </c>
      <c r="CJ7" s="397" t="e">
        <f t="shared" si="50"/>
        <v>#REF!</v>
      </c>
      <c r="CK7" s="397">
        <f t="shared" si="51"/>
        <v>0</v>
      </c>
      <c r="CL7" s="397">
        <f t="shared" si="52"/>
        <v>0</v>
      </c>
      <c r="CM7" s="397">
        <f t="shared" si="53"/>
        <v>0</v>
      </c>
      <c r="CN7" s="397">
        <f t="shared" si="54"/>
        <v>0</v>
      </c>
      <c r="CO7" s="397">
        <f t="shared" si="55"/>
        <v>0</v>
      </c>
      <c r="CP7" s="397">
        <f t="shared" si="56"/>
        <v>0</v>
      </c>
      <c r="CQ7" s="397">
        <f t="shared" si="57"/>
        <v>0</v>
      </c>
      <c r="CR7" s="397">
        <f t="shared" si="58"/>
        <v>0</v>
      </c>
      <c r="CS7" s="397">
        <f t="shared" si="59"/>
        <v>0</v>
      </c>
      <c r="CT7" s="398" t="e">
        <f>+SUM(CD7:CS7)</f>
        <v>#REF!</v>
      </c>
      <c r="CV7" s="391">
        <v>39133</v>
      </c>
      <c r="CW7" s="399">
        <f>+CW$3-SUM(AU$4:AU7)</f>
        <v>776451935.07000005</v>
      </c>
      <c r="CX7" s="399">
        <f>+CX$3-SUM(AV$4:AV7)</f>
        <v>236590566.84999999</v>
      </c>
      <c r="CY7" s="399">
        <f>+CY$3-SUM(AW$4:AW7)</f>
        <v>472862906.38</v>
      </c>
      <c r="CZ7" s="399">
        <f>+CZ$3-SUM(AX$4:AX7)</f>
        <v>1368548684.7</v>
      </c>
      <c r="DA7" s="399">
        <f>+DA$3-SUM(AY$4:AY7)</f>
        <v>1139656560.24</v>
      </c>
      <c r="DB7" s="399">
        <f>+DB$3-SUM(AZ$4:AZ7)</f>
        <v>547472191.47000003</v>
      </c>
      <c r="DC7" s="399" t="e">
        <f>+DC$3-SUM(BA$4:BA7)</f>
        <v>#REF!</v>
      </c>
      <c r="DD7" s="399">
        <f>+DD$3-SUM(BB$4:BB7)</f>
        <v>44546365.119999997</v>
      </c>
      <c r="DE7" s="399">
        <f>+DE$3-SUM(BC$4:BC7)</f>
        <v>112020391.73999999</v>
      </c>
      <c r="DF7" s="399">
        <f>+DF$3-SUM(BD$4:BD7)</f>
        <v>23000000</v>
      </c>
      <c r="DG7" s="399">
        <f>+DG$3-SUM(BE$4:BE7)</f>
        <v>39274605.939999998</v>
      </c>
      <c r="DH7" s="399">
        <f>+DH$3-SUM(BF$4:BF7)</f>
        <v>61041051.780000001</v>
      </c>
      <c r="DI7" s="399">
        <f>+DI$3-SUM(BG$4:BG7)</f>
        <v>56000000</v>
      </c>
      <c r="DJ7" s="399">
        <f>+DJ$3-SUM(BH$4:BH7)</f>
        <v>36902314.299999997</v>
      </c>
      <c r="DK7" s="399">
        <f>+DK$3-SUM(BI$4:BI7)</f>
        <v>141534746.44</v>
      </c>
      <c r="DL7" s="399">
        <f>+DL$3-SUM(BJ$4:BJ7)</f>
        <v>20000000</v>
      </c>
    </row>
    <row r="8" spans="1:116" s="106" customFormat="1">
      <c r="A8" s="391">
        <v>39161</v>
      </c>
      <c r="B8" s="392">
        <v>776451935.06481624</v>
      </c>
      <c r="C8" s="392">
        <v>236590566.84829226</v>
      </c>
      <c r="D8" s="392">
        <v>472862906.38469189</v>
      </c>
      <c r="E8" s="392">
        <v>1368548684.6960831</v>
      </c>
      <c r="F8" s="392">
        <v>1139656560.236115</v>
      </c>
      <c r="G8" s="392">
        <v>547472191.47029364</v>
      </c>
      <c r="H8" s="393">
        <v>500000000</v>
      </c>
      <c r="I8" s="393">
        <v>44546365.122041218</v>
      </c>
      <c r="J8" s="393">
        <v>112020391.73598069</v>
      </c>
      <c r="K8" s="393">
        <v>23000000</v>
      </c>
      <c r="L8" s="393">
        <v>39274605.936000846</v>
      </c>
      <c r="M8" s="393">
        <v>61041051.784276903</v>
      </c>
      <c r="N8" s="393">
        <v>56000000</v>
      </c>
      <c r="O8" s="393">
        <v>36902314.302282669</v>
      </c>
      <c r="P8" s="393">
        <v>141534746.44486183</v>
      </c>
      <c r="Q8" s="393">
        <v>20000000</v>
      </c>
      <c r="R8" s="394">
        <f t="shared" si="2"/>
        <v>5575902320.0257349</v>
      </c>
      <c r="S8" s="391">
        <v>39161</v>
      </c>
      <c r="T8" s="395">
        <f t="shared" si="23"/>
        <v>0</v>
      </c>
      <c r="U8" s="395">
        <f t="shared" si="24"/>
        <v>0</v>
      </c>
      <c r="V8" s="395">
        <f t="shared" si="25"/>
        <v>0</v>
      </c>
      <c r="W8" s="395">
        <f t="shared" si="26"/>
        <v>0</v>
      </c>
      <c r="X8" s="395">
        <f t="shared" si="27"/>
        <v>0</v>
      </c>
      <c r="Y8" s="395">
        <f t="shared" si="28"/>
        <v>0</v>
      </c>
      <c r="Z8" s="395">
        <f t="shared" si="29"/>
        <v>0</v>
      </c>
      <c r="AA8" s="395">
        <f t="shared" si="30"/>
        <v>0</v>
      </c>
      <c r="AB8" s="395">
        <f t="shared" si="31"/>
        <v>0</v>
      </c>
      <c r="AC8" s="395">
        <f t="shared" si="32"/>
        <v>0</v>
      </c>
      <c r="AD8" s="395">
        <f t="shared" si="33"/>
        <v>0</v>
      </c>
      <c r="AE8" s="395">
        <f t="shared" si="34"/>
        <v>0</v>
      </c>
      <c r="AF8" s="395">
        <f t="shared" si="35"/>
        <v>0</v>
      </c>
      <c r="AG8" s="395">
        <f t="shared" si="36"/>
        <v>0</v>
      </c>
      <c r="AH8" s="395">
        <f t="shared" si="37"/>
        <v>0</v>
      </c>
      <c r="AI8" s="395">
        <f t="shared" si="38"/>
        <v>0</v>
      </c>
      <c r="AJ8" s="395">
        <f t="shared" si="39"/>
        <v>0</v>
      </c>
      <c r="AK8" s="396"/>
      <c r="AL8" s="391">
        <v>39161</v>
      </c>
      <c r="AM8" s="397">
        <f t="shared" si="40"/>
        <v>5041582844.7002916</v>
      </c>
      <c r="AN8" s="397">
        <f t="shared" si="41"/>
        <v>179566756.85802191</v>
      </c>
      <c r="AO8" s="397">
        <f t="shared" si="42"/>
        <v>156315657.72027776</v>
      </c>
      <c r="AP8" s="397">
        <f t="shared" si="43"/>
        <v>198437060.74714449</v>
      </c>
      <c r="AQ8" s="397">
        <f t="shared" si="4"/>
        <v>5575902320.0257359</v>
      </c>
      <c r="AR8" s="353"/>
      <c r="AT8" s="391">
        <v>39161</v>
      </c>
      <c r="AU8" s="85">
        <v>0</v>
      </c>
      <c r="AV8" s="85">
        <v>0</v>
      </c>
      <c r="AW8" s="85">
        <v>0</v>
      </c>
      <c r="AX8" s="63">
        <v>0</v>
      </c>
      <c r="AY8" s="63">
        <v>0</v>
      </c>
      <c r="AZ8" s="63">
        <v>0</v>
      </c>
      <c r="BA8" s="63">
        <v>0</v>
      </c>
      <c r="BB8" s="63">
        <v>0</v>
      </c>
      <c r="BC8" s="63">
        <v>0</v>
      </c>
      <c r="BD8" s="63">
        <v>0</v>
      </c>
      <c r="BE8" s="63">
        <v>0</v>
      </c>
      <c r="BF8" s="63">
        <v>0</v>
      </c>
      <c r="BG8" s="63">
        <v>0</v>
      </c>
      <c r="BH8" s="63">
        <v>0</v>
      </c>
      <c r="BI8" s="63">
        <v>0</v>
      </c>
      <c r="BJ8" s="63">
        <v>0</v>
      </c>
      <c r="BL8" s="391">
        <v>39161</v>
      </c>
      <c r="BM8" s="397">
        <f t="shared" si="5"/>
        <v>0</v>
      </c>
      <c r="BN8" s="397">
        <f t="shared" si="6"/>
        <v>0</v>
      </c>
      <c r="BO8" s="397">
        <f t="shared" si="7"/>
        <v>0</v>
      </c>
      <c r="BP8" s="397">
        <f t="shared" si="8"/>
        <v>0</v>
      </c>
      <c r="BQ8" s="397">
        <f t="shared" si="9"/>
        <v>0</v>
      </c>
      <c r="BR8" s="397">
        <f t="shared" si="10"/>
        <v>0</v>
      </c>
      <c r="BS8" s="397">
        <f t="shared" si="11"/>
        <v>0</v>
      </c>
      <c r="BT8" s="397">
        <f t="shared" si="12"/>
        <v>0</v>
      </c>
      <c r="BU8" s="397">
        <f t="shared" si="13"/>
        <v>0</v>
      </c>
      <c r="BV8" s="397">
        <f t="shared" si="14"/>
        <v>0</v>
      </c>
      <c r="BW8" s="397">
        <f t="shared" si="15"/>
        <v>0</v>
      </c>
      <c r="BX8" s="397">
        <f t="shared" si="16"/>
        <v>0</v>
      </c>
      <c r="BY8" s="397">
        <f t="shared" si="17"/>
        <v>0</v>
      </c>
      <c r="BZ8" s="397">
        <f t="shared" si="18"/>
        <v>0</v>
      </c>
      <c r="CA8" s="397">
        <f t="shared" si="19"/>
        <v>0</v>
      </c>
      <c r="CB8" s="397">
        <f t="shared" si="20"/>
        <v>0</v>
      </c>
      <c r="CC8" s="391">
        <v>39161</v>
      </c>
      <c r="CD8" s="397">
        <f t="shared" si="44"/>
        <v>0</v>
      </c>
      <c r="CE8" s="397">
        <f t="shared" si="45"/>
        <v>0</v>
      </c>
      <c r="CF8" s="397">
        <f t="shared" si="46"/>
        <v>0</v>
      </c>
      <c r="CG8" s="397">
        <f t="shared" si="47"/>
        <v>0</v>
      </c>
      <c r="CH8" s="397">
        <f t="shared" si="48"/>
        <v>0</v>
      </c>
      <c r="CI8" s="397">
        <f t="shared" si="49"/>
        <v>0</v>
      </c>
      <c r="CJ8" s="397" t="e">
        <f t="shared" si="50"/>
        <v>#REF!</v>
      </c>
      <c r="CK8" s="397">
        <f t="shared" si="51"/>
        <v>0</v>
      </c>
      <c r="CL8" s="397">
        <f t="shared" si="52"/>
        <v>0</v>
      </c>
      <c r="CM8" s="397">
        <f t="shared" si="53"/>
        <v>0</v>
      </c>
      <c r="CN8" s="397">
        <f t="shared" si="54"/>
        <v>0</v>
      </c>
      <c r="CO8" s="397">
        <f t="shared" si="55"/>
        <v>0</v>
      </c>
      <c r="CP8" s="397">
        <f t="shared" si="56"/>
        <v>0</v>
      </c>
      <c r="CQ8" s="397">
        <f t="shared" si="57"/>
        <v>0</v>
      </c>
      <c r="CR8" s="397">
        <f t="shared" si="58"/>
        <v>0</v>
      </c>
      <c r="CS8" s="397">
        <f t="shared" si="59"/>
        <v>0</v>
      </c>
      <c r="CT8" s="398" t="e">
        <f t="shared" si="60"/>
        <v>#REF!</v>
      </c>
      <c r="CV8" s="391">
        <v>39161</v>
      </c>
      <c r="CW8" s="399">
        <f>+CW$3-SUM(AU$4:AU8)</f>
        <v>776451935.07000005</v>
      </c>
      <c r="CX8" s="399">
        <f>+CX$3-SUM(AV$4:AV8)</f>
        <v>236590566.84999999</v>
      </c>
      <c r="CY8" s="399">
        <f>+CY$3-SUM(AW$4:AW8)</f>
        <v>472862906.38</v>
      </c>
      <c r="CZ8" s="399">
        <f>+CZ$3-SUM(AX$4:AX8)</f>
        <v>1368548684.7</v>
      </c>
      <c r="DA8" s="399">
        <f>+DA$3-SUM(AY$4:AY8)</f>
        <v>1139656560.24</v>
      </c>
      <c r="DB8" s="399">
        <f>+DB$3-SUM(AZ$4:AZ8)</f>
        <v>547472191.47000003</v>
      </c>
      <c r="DC8" s="399" t="e">
        <f>+DC$3-SUM(BA$4:BA8)</f>
        <v>#REF!</v>
      </c>
      <c r="DD8" s="399">
        <f>+DD$3-SUM(BB$4:BB8)</f>
        <v>44546365.119999997</v>
      </c>
      <c r="DE8" s="399">
        <f>+DE$3-SUM(BC$4:BC8)</f>
        <v>112020391.73999999</v>
      </c>
      <c r="DF8" s="399">
        <f>+DF$3-SUM(BD$4:BD8)</f>
        <v>23000000</v>
      </c>
      <c r="DG8" s="399">
        <f>+DG$3-SUM(BE$4:BE8)</f>
        <v>39274605.939999998</v>
      </c>
      <c r="DH8" s="399">
        <f>+DH$3-SUM(BF$4:BF8)</f>
        <v>61041051.780000001</v>
      </c>
      <c r="DI8" s="399">
        <f>+DI$3-SUM(BG$4:BG8)</f>
        <v>56000000</v>
      </c>
      <c r="DJ8" s="399">
        <f>+DJ$3-SUM(BH$4:BH8)</f>
        <v>36902314.299999997</v>
      </c>
      <c r="DK8" s="399">
        <f>+DK$3-SUM(BI$4:BI8)</f>
        <v>141534746.44</v>
      </c>
      <c r="DL8" s="399">
        <f>+DL$3-SUM(BJ$4:BJ8)</f>
        <v>20000000</v>
      </c>
    </row>
    <row r="9" spans="1:116" s="106" customFormat="1">
      <c r="A9" s="391">
        <v>39192</v>
      </c>
      <c r="B9" s="392">
        <v>776451935.06481624</v>
      </c>
      <c r="C9" s="392">
        <v>236590566.84829226</v>
      </c>
      <c r="D9" s="392">
        <v>472862906.38469189</v>
      </c>
      <c r="E9" s="392">
        <v>1368548684.6960831</v>
      </c>
      <c r="F9" s="392">
        <v>1139656560.236115</v>
      </c>
      <c r="G9" s="392">
        <v>547472191.47029364</v>
      </c>
      <c r="H9" s="393">
        <v>500000000</v>
      </c>
      <c r="I9" s="393">
        <v>44546365.122041218</v>
      </c>
      <c r="J9" s="393">
        <v>112020391.73598069</v>
      </c>
      <c r="K9" s="393">
        <v>23000000</v>
      </c>
      <c r="L9" s="393">
        <v>39274605.936000846</v>
      </c>
      <c r="M9" s="393">
        <v>61041051.784276903</v>
      </c>
      <c r="N9" s="393">
        <v>56000000</v>
      </c>
      <c r="O9" s="393">
        <v>36902314.302282669</v>
      </c>
      <c r="P9" s="393">
        <v>141534746.44486183</v>
      </c>
      <c r="Q9" s="393">
        <v>20000000</v>
      </c>
      <c r="R9" s="394">
        <f t="shared" si="2"/>
        <v>5575902320.0257349</v>
      </c>
      <c r="S9" s="391">
        <v>39192</v>
      </c>
      <c r="T9" s="395">
        <f t="shared" si="23"/>
        <v>0</v>
      </c>
      <c r="U9" s="395">
        <f t="shared" si="24"/>
        <v>0</v>
      </c>
      <c r="V9" s="395">
        <f t="shared" si="25"/>
        <v>0</v>
      </c>
      <c r="W9" s="395">
        <f t="shared" si="26"/>
        <v>0</v>
      </c>
      <c r="X9" s="395">
        <f t="shared" si="27"/>
        <v>0</v>
      </c>
      <c r="Y9" s="395">
        <f t="shared" si="28"/>
        <v>0</v>
      </c>
      <c r="Z9" s="395">
        <f t="shared" si="29"/>
        <v>0</v>
      </c>
      <c r="AA9" s="395">
        <f t="shared" si="30"/>
        <v>0</v>
      </c>
      <c r="AB9" s="395">
        <f t="shared" si="31"/>
        <v>0</v>
      </c>
      <c r="AC9" s="395">
        <f t="shared" si="32"/>
        <v>0</v>
      </c>
      <c r="AD9" s="395">
        <f t="shared" si="33"/>
        <v>0</v>
      </c>
      <c r="AE9" s="395">
        <f t="shared" si="34"/>
        <v>0</v>
      </c>
      <c r="AF9" s="395">
        <f t="shared" si="35"/>
        <v>0</v>
      </c>
      <c r="AG9" s="395">
        <f t="shared" si="36"/>
        <v>0</v>
      </c>
      <c r="AH9" s="395">
        <f t="shared" si="37"/>
        <v>0</v>
      </c>
      <c r="AI9" s="395">
        <f t="shared" si="38"/>
        <v>0</v>
      </c>
      <c r="AJ9" s="395">
        <f t="shared" si="39"/>
        <v>0</v>
      </c>
      <c r="AK9" s="396"/>
      <c r="AL9" s="391">
        <v>39192</v>
      </c>
      <c r="AM9" s="397">
        <f t="shared" si="40"/>
        <v>5041582844.7002916</v>
      </c>
      <c r="AN9" s="397">
        <f t="shared" si="41"/>
        <v>179566756.85802191</v>
      </c>
      <c r="AO9" s="397">
        <f t="shared" si="42"/>
        <v>156315657.72027776</v>
      </c>
      <c r="AP9" s="397">
        <f t="shared" si="43"/>
        <v>198437060.74714449</v>
      </c>
      <c r="AQ9" s="397">
        <f t="shared" si="4"/>
        <v>5575902320.0257359</v>
      </c>
      <c r="AR9" s="353"/>
      <c r="AT9" s="391">
        <v>39192</v>
      </c>
      <c r="AU9" s="85">
        <v>0</v>
      </c>
      <c r="AV9" s="85">
        <v>0</v>
      </c>
      <c r="AW9" s="85">
        <v>0</v>
      </c>
      <c r="AX9" s="63">
        <v>0</v>
      </c>
      <c r="AY9" s="63">
        <v>0</v>
      </c>
      <c r="AZ9" s="63">
        <v>0</v>
      </c>
      <c r="BA9" s="63">
        <v>0</v>
      </c>
      <c r="BB9" s="63">
        <v>0</v>
      </c>
      <c r="BC9" s="63">
        <v>0</v>
      </c>
      <c r="BD9" s="63">
        <v>0</v>
      </c>
      <c r="BE9" s="63">
        <v>0</v>
      </c>
      <c r="BF9" s="63">
        <v>0</v>
      </c>
      <c r="BG9" s="63">
        <v>0</v>
      </c>
      <c r="BH9" s="63">
        <v>0</v>
      </c>
      <c r="BI9" s="63">
        <v>0</v>
      </c>
      <c r="BJ9" s="63">
        <v>0</v>
      </c>
      <c r="BL9" s="391">
        <v>39192</v>
      </c>
      <c r="BM9" s="397">
        <f t="shared" si="5"/>
        <v>0</v>
      </c>
      <c r="BN9" s="397">
        <f t="shared" si="6"/>
        <v>0</v>
      </c>
      <c r="BO9" s="397">
        <f t="shared" si="7"/>
        <v>0</v>
      </c>
      <c r="BP9" s="397">
        <f t="shared" si="8"/>
        <v>0</v>
      </c>
      <c r="BQ9" s="397">
        <f t="shared" si="9"/>
        <v>0</v>
      </c>
      <c r="BR9" s="397">
        <f t="shared" si="10"/>
        <v>0</v>
      </c>
      <c r="BS9" s="397">
        <f t="shared" si="11"/>
        <v>0</v>
      </c>
      <c r="BT9" s="397">
        <f t="shared" si="12"/>
        <v>0</v>
      </c>
      <c r="BU9" s="397">
        <f t="shared" si="13"/>
        <v>0</v>
      </c>
      <c r="BV9" s="397">
        <f t="shared" si="14"/>
        <v>0</v>
      </c>
      <c r="BW9" s="397">
        <f t="shared" si="15"/>
        <v>0</v>
      </c>
      <c r="BX9" s="397">
        <f t="shared" si="16"/>
        <v>0</v>
      </c>
      <c r="BY9" s="397">
        <f t="shared" si="17"/>
        <v>0</v>
      </c>
      <c r="BZ9" s="397">
        <f t="shared" si="18"/>
        <v>0</v>
      </c>
      <c r="CA9" s="397">
        <f t="shared" si="19"/>
        <v>0</v>
      </c>
      <c r="CB9" s="397">
        <f t="shared" si="20"/>
        <v>0</v>
      </c>
      <c r="CC9" s="391">
        <v>39192</v>
      </c>
      <c r="CD9" s="397">
        <f t="shared" si="44"/>
        <v>0</v>
      </c>
      <c r="CE9" s="397">
        <f t="shared" si="45"/>
        <v>0</v>
      </c>
      <c r="CF9" s="397">
        <f t="shared" si="46"/>
        <v>0</v>
      </c>
      <c r="CG9" s="397">
        <f t="shared" si="47"/>
        <v>0</v>
      </c>
      <c r="CH9" s="397">
        <f t="shared" si="48"/>
        <v>0</v>
      </c>
      <c r="CI9" s="397">
        <f t="shared" si="49"/>
        <v>0</v>
      </c>
      <c r="CJ9" s="397" t="e">
        <f t="shared" si="50"/>
        <v>#REF!</v>
      </c>
      <c r="CK9" s="397">
        <f t="shared" si="51"/>
        <v>0</v>
      </c>
      <c r="CL9" s="397">
        <f t="shared" si="52"/>
        <v>0</v>
      </c>
      <c r="CM9" s="397">
        <f t="shared" si="53"/>
        <v>0</v>
      </c>
      <c r="CN9" s="397">
        <f t="shared" si="54"/>
        <v>0</v>
      </c>
      <c r="CO9" s="397">
        <f t="shared" si="55"/>
        <v>0</v>
      </c>
      <c r="CP9" s="397">
        <f t="shared" si="56"/>
        <v>0</v>
      </c>
      <c r="CQ9" s="397">
        <f t="shared" si="57"/>
        <v>0</v>
      </c>
      <c r="CR9" s="397">
        <f t="shared" si="58"/>
        <v>0</v>
      </c>
      <c r="CS9" s="397">
        <f t="shared" si="59"/>
        <v>0</v>
      </c>
      <c r="CT9" s="398" t="e">
        <f t="shared" si="60"/>
        <v>#REF!</v>
      </c>
      <c r="CV9" s="391">
        <v>39192</v>
      </c>
      <c r="CW9" s="399">
        <f>+CW$3-SUM(AU$4:AU9)</f>
        <v>776451935.07000005</v>
      </c>
      <c r="CX9" s="399">
        <f>+CX$3-SUM(AV$4:AV9)</f>
        <v>236590566.84999999</v>
      </c>
      <c r="CY9" s="399">
        <f>+CY$3-SUM(AW$4:AW9)</f>
        <v>472862906.38</v>
      </c>
      <c r="CZ9" s="399">
        <f>+CZ$3-SUM(AX$4:AX9)</f>
        <v>1368548684.7</v>
      </c>
      <c r="DA9" s="399">
        <f>+DA$3-SUM(AY$4:AY9)</f>
        <v>1139656560.24</v>
      </c>
      <c r="DB9" s="399">
        <f>+DB$3-SUM(AZ$4:AZ9)</f>
        <v>547472191.47000003</v>
      </c>
      <c r="DC9" s="399" t="e">
        <f>+DC$3-SUM(BA$4:BA9)</f>
        <v>#REF!</v>
      </c>
      <c r="DD9" s="399">
        <f>+DD$3-SUM(BB$4:BB9)</f>
        <v>44546365.119999997</v>
      </c>
      <c r="DE9" s="399">
        <f>+DE$3-SUM(BC$4:BC9)</f>
        <v>112020391.73999999</v>
      </c>
      <c r="DF9" s="399">
        <f>+DF$3-SUM(BD$4:BD9)</f>
        <v>23000000</v>
      </c>
      <c r="DG9" s="399">
        <f>+DG$3-SUM(BE$4:BE9)</f>
        <v>39274605.939999998</v>
      </c>
      <c r="DH9" s="399">
        <f>+DH$3-SUM(BF$4:BF9)</f>
        <v>61041051.780000001</v>
      </c>
      <c r="DI9" s="399">
        <f>+DI$3-SUM(BG$4:BG9)</f>
        <v>56000000</v>
      </c>
      <c r="DJ9" s="399">
        <f>+DJ$3-SUM(BH$4:BH9)</f>
        <v>36902314.299999997</v>
      </c>
      <c r="DK9" s="399">
        <f>+DK$3-SUM(BI$4:BI9)</f>
        <v>141534746.44</v>
      </c>
      <c r="DL9" s="399">
        <f>+DL$3-SUM(BJ$4:BJ9)</f>
        <v>20000000</v>
      </c>
    </row>
    <row r="10" spans="1:116" s="106" customFormat="1">
      <c r="A10" s="391">
        <v>39223</v>
      </c>
      <c r="B10" s="392">
        <v>618222850.20864916</v>
      </c>
      <c r="C10" s="392">
        <v>188377010.81551337</v>
      </c>
      <c r="D10" s="392">
        <v>376500644.20109475</v>
      </c>
      <c r="E10" s="392">
        <v>1368548684.6960831</v>
      </c>
      <c r="F10" s="392">
        <v>1139656560.236115</v>
      </c>
      <c r="G10" s="392">
        <v>547472191.47029364</v>
      </c>
      <c r="H10" s="393">
        <v>500000000</v>
      </c>
      <c r="I10" s="393">
        <v>44546365.122041218</v>
      </c>
      <c r="J10" s="393">
        <v>112020391.73598069</v>
      </c>
      <c r="K10" s="393">
        <v>23000000</v>
      </c>
      <c r="L10" s="393">
        <v>39274605.936000846</v>
      </c>
      <c r="M10" s="393">
        <v>61041051.784276903</v>
      </c>
      <c r="N10" s="393">
        <v>56000000</v>
      </c>
      <c r="O10" s="393">
        <v>36902314.302282669</v>
      </c>
      <c r="P10" s="393">
        <v>141534746.44486183</v>
      </c>
      <c r="Q10" s="393">
        <v>20000000</v>
      </c>
      <c r="R10" s="394">
        <f t="shared" si="2"/>
        <v>5273097416.9531918</v>
      </c>
      <c r="S10" s="391">
        <v>39223</v>
      </c>
      <c r="T10" s="395">
        <f t="shared" si="23"/>
        <v>158229084.86000001</v>
      </c>
      <c r="U10" s="395">
        <f>+ROUND(C9-C10,2)</f>
        <v>48213556.030000001</v>
      </c>
      <c r="V10" s="395">
        <f t="shared" si="25"/>
        <v>96362262.180000007</v>
      </c>
      <c r="W10" s="395">
        <f t="shared" si="26"/>
        <v>0</v>
      </c>
      <c r="X10" s="395">
        <f t="shared" si="27"/>
        <v>0</v>
      </c>
      <c r="Y10" s="395">
        <f t="shared" si="28"/>
        <v>0</v>
      </c>
      <c r="Z10" s="395">
        <f t="shared" si="29"/>
        <v>0</v>
      </c>
      <c r="AA10" s="395">
        <f t="shared" si="30"/>
        <v>0</v>
      </c>
      <c r="AB10" s="395">
        <f t="shared" si="31"/>
        <v>0</v>
      </c>
      <c r="AC10" s="395">
        <f t="shared" si="32"/>
        <v>0</v>
      </c>
      <c r="AD10" s="395">
        <f t="shared" si="33"/>
        <v>0</v>
      </c>
      <c r="AE10" s="395">
        <f t="shared" si="34"/>
        <v>0</v>
      </c>
      <c r="AF10" s="395">
        <f t="shared" si="35"/>
        <v>0</v>
      </c>
      <c r="AG10" s="395">
        <f t="shared" si="36"/>
        <v>0</v>
      </c>
      <c r="AH10" s="395">
        <f t="shared" si="37"/>
        <v>0</v>
      </c>
      <c r="AI10" s="395">
        <f t="shared" si="38"/>
        <v>0</v>
      </c>
      <c r="AJ10" s="395">
        <f t="shared" si="39"/>
        <v>302804903.06999999</v>
      </c>
      <c r="AK10" s="396"/>
      <c r="AL10" s="391">
        <v>39223</v>
      </c>
      <c r="AM10" s="397">
        <f t="shared" si="40"/>
        <v>4738777941.6277485</v>
      </c>
      <c r="AN10" s="397">
        <f t="shared" si="41"/>
        <v>179566756.85802191</v>
      </c>
      <c r="AO10" s="397">
        <f t="shared" si="42"/>
        <v>156315657.72027776</v>
      </c>
      <c r="AP10" s="397">
        <f t="shared" si="43"/>
        <v>198437060.74714449</v>
      </c>
      <c r="AQ10" s="397">
        <f t="shared" si="4"/>
        <v>5273097416.9531927</v>
      </c>
      <c r="AR10" s="353"/>
      <c r="AS10" s="399"/>
      <c r="AT10" s="391">
        <v>39223</v>
      </c>
      <c r="AU10" s="85">
        <v>158229084.86000001</v>
      </c>
      <c r="AV10" s="85">
        <v>48213556.030000001</v>
      </c>
      <c r="AW10" s="85">
        <v>96362262.180000007</v>
      </c>
      <c r="AX10" s="63">
        <v>0</v>
      </c>
      <c r="AY10" s="63">
        <v>0</v>
      </c>
      <c r="AZ10" s="63">
        <v>0</v>
      </c>
      <c r="BA10" s="63">
        <v>0</v>
      </c>
      <c r="BB10" s="63">
        <v>0</v>
      </c>
      <c r="BC10" s="63">
        <v>0</v>
      </c>
      <c r="BD10" s="63">
        <v>0</v>
      </c>
      <c r="BE10" s="63">
        <v>0</v>
      </c>
      <c r="BF10" s="63">
        <v>0</v>
      </c>
      <c r="BG10" s="63">
        <v>0</v>
      </c>
      <c r="BH10" s="63">
        <v>0</v>
      </c>
      <c r="BI10" s="63">
        <v>0</v>
      </c>
      <c r="BJ10" s="63">
        <v>0</v>
      </c>
      <c r="BL10" s="391">
        <v>39223</v>
      </c>
      <c r="BM10" s="397">
        <f t="shared" si="5"/>
        <v>0</v>
      </c>
      <c r="BN10" s="397">
        <f t="shared" si="6"/>
        <v>0</v>
      </c>
      <c r="BO10" s="397">
        <f t="shared" si="7"/>
        <v>0</v>
      </c>
      <c r="BP10" s="397">
        <f t="shared" si="8"/>
        <v>0</v>
      </c>
      <c r="BQ10" s="397">
        <f t="shared" si="9"/>
        <v>0</v>
      </c>
      <c r="BR10" s="397">
        <f t="shared" si="10"/>
        <v>0</v>
      </c>
      <c r="BS10" s="397">
        <f t="shared" si="11"/>
        <v>0</v>
      </c>
      <c r="BT10" s="397">
        <f t="shared" si="12"/>
        <v>0</v>
      </c>
      <c r="BU10" s="397">
        <f t="shared" si="13"/>
        <v>0</v>
      </c>
      <c r="BV10" s="397">
        <f t="shared" si="14"/>
        <v>0</v>
      </c>
      <c r="BW10" s="397">
        <f t="shared" si="15"/>
        <v>0</v>
      </c>
      <c r="BX10" s="397">
        <f t="shared" si="16"/>
        <v>0</v>
      </c>
      <c r="BY10" s="397">
        <f t="shared" si="17"/>
        <v>0</v>
      </c>
      <c r="BZ10" s="397">
        <f t="shared" si="18"/>
        <v>0</v>
      </c>
      <c r="CA10" s="397">
        <f t="shared" si="19"/>
        <v>0</v>
      </c>
      <c r="CB10" s="397">
        <f t="shared" si="20"/>
        <v>0</v>
      </c>
      <c r="CC10" s="391">
        <v>39223</v>
      </c>
      <c r="CD10" s="397">
        <f t="shared" si="44"/>
        <v>0</v>
      </c>
      <c r="CE10" s="397">
        <f t="shared" si="45"/>
        <v>0</v>
      </c>
      <c r="CF10" s="397">
        <f t="shared" si="46"/>
        <v>0</v>
      </c>
      <c r="CG10" s="397">
        <f t="shared" si="47"/>
        <v>0</v>
      </c>
      <c r="CH10" s="397">
        <f t="shared" si="48"/>
        <v>0</v>
      </c>
      <c r="CI10" s="397">
        <f t="shared" si="49"/>
        <v>0</v>
      </c>
      <c r="CJ10" s="397" t="e">
        <f t="shared" si="50"/>
        <v>#REF!</v>
      </c>
      <c r="CK10" s="397">
        <f t="shared" si="51"/>
        <v>0</v>
      </c>
      <c r="CL10" s="397">
        <f t="shared" si="52"/>
        <v>0</v>
      </c>
      <c r="CM10" s="397">
        <f t="shared" si="53"/>
        <v>0</v>
      </c>
      <c r="CN10" s="397">
        <f t="shared" si="54"/>
        <v>0</v>
      </c>
      <c r="CO10" s="397">
        <f t="shared" si="55"/>
        <v>0</v>
      </c>
      <c r="CP10" s="397">
        <f t="shared" si="56"/>
        <v>0</v>
      </c>
      <c r="CQ10" s="397">
        <f t="shared" si="57"/>
        <v>0</v>
      </c>
      <c r="CR10" s="397">
        <f t="shared" si="58"/>
        <v>0</v>
      </c>
      <c r="CS10" s="397">
        <f t="shared" si="59"/>
        <v>0</v>
      </c>
      <c r="CT10" s="398" t="e">
        <f t="shared" si="60"/>
        <v>#REF!</v>
      </c>
      <c r="CV10" s="391">
        <v>39223</v>
      </c>
      <c r="CW10" s="399">
        <f>+CW$3-SUM(AU$4:AU10)</f>
        <v>618222850.21000004</v>
      </c>
      <c r="CX10" s="399">
        <f>+CX$3-SUM(AV$4:AV10)</f>
        <v>188377010.81999999</v>
      </c>
      <c r="CY10" s="399">
        <f>+CY$3-SUM(AW$4:AW10)</f>
        <v>376500644.19999999</v>
      </c>
      <c r="CZ10" s="399">
        <f>+CZ$3-SUM(AX$4:AX10)</f>
        <v>1368548684.7</v>
      </c>
      <c r="DA10" s="399">
        <f>+DA$3-SUM(AY$4:AY10)</f>
        <v>1139656560.24</v>
      </c>
      <c r="DB10" s="399">
        <f>+DB$3-SUM(AZ$4:AZ10)</f>
        <v>547472191.47000003</v>
      </c>
      <c r="DC10" s="399" t="e">
        <f>+DC$3-SUM(BA$4:BA10)</f>
        <v>#REF!</v>
      </c>
      <c r="DD10" s="399">
        <f>+DD$3-SUM(BB$4:BB10)</f>
        <v>44546365.119999997</v>
      </c>
      <c r="DE10" s="399">
        <f>+DE$3-SUM(BC$4:BC10)</f>
        <v>112020391.73999999</v>
      </c>
      <c r="DF10" s="399">
        <f>+DF$3-SUM(BD$4:BD10)</f>
        <v>23000000</v>
      </c>
      <c r="DG10" s="399">
        <f>+DG$3-SUM(BE$4:BE10)</f>
        <v>39274605.939999998</v>
      </c>
      <c r="DH10" s="399">
        <f>+DH$3-SUM(BF$4:BF10)</f>
        <v>61041051.780000001</v>
      </c>
      <c r="DI10" s="399">
        <f>+DI$3-SUM(BG$4:BG10)</f>
        <v>56000000</v>
      </c>
      <c r="DJ10" s="399">
        <f>+DJ$3-SUM(BH$4:BH10)</f>
        <v>36902314.299999997</v>
      </c>
      <c r="DK10" s="399">
        <f>+DK$3-SUM(BI$4:BI10)</f>
        <v>141534746.44</v>
      </c>
      <c r="DL10" s="399">
        <f>+DL$3-SUM(BJ$4:BJ10)</f>
        <v>20000000</v>
      </c>
    </row>
    <row r="11" spans="1:116" s="106" customFormat="1">
      <c r="A11" s="391">
        <v>39253</v>
      </c>
      <c r="B11" s="392">
        <v>618222850.20864916</v>
      </c>
      <c r="C11" s="392">
        <v>188377010.81551337</v>
      </c>
      <c r="D11" s="392">
        <v>376500644.20109475</v>
      </c>
      <c r="E11" s="392">
        <v>1368548684.6960831</v>
      </c>
      <c r="F11" s="392">
        <v>1139656560.236115</v>
      </c>
      <c r="G11" s="392">
        <v>547472191.47029364</v>
      </c>
      <c r="H11" s="393">
        <v>500000000</v>
      </c>
      <c r="I11" s="393">
        <v>44546365.122041218</v>
      </c>
      <c r="J11" s="393">
        <v>112020391.73598069</v>
      </c>
      <c r="K11" s="393">
        <v>23000000</v>
      </c>
      <c r="L11" s="393">
        <v>39274605.936000846</v>
      </c>
      <c r="M11" s="393">
        <v>61041051.784276903</v>
      </c>
      <c r="N11" s="393">
        <v>56000000</v>
      </c>
      <c r="O11" s="393">
        <v>36902314.302282669</v>
      </c>
      <c r="P11" s="393">
        <v>141534746.44486183</v>
      </c>
      <c r="Q11" s="393">
        <v>20000000</v>
      </c>
      <c r="R11" s="394">
        <f t="shared" si="2"/>
        <v>5273097416.9531918</v>
      </c>
      <c r="S11" s="391">
        <v>39253</v>
      </c>
      <c r="T11" s="395">
        <f t="shared" si="23"/>
        <v>0</v>
      </c>
      <c r="U11" s="395">
        <f t="shared" si="24"/>
        <v>0</v>
      </c>
      <c r="V11" s="395">
        <f t="shared" si="25"/>
        <v>0</v>
      </c>
      <c r="W11" s="395">
        <f t="shared" si="26"/>
        <v>0</v>
      </c>
      <c r="X11" s="395">
        <f t="shared" si="27"/>
        <v>0</v>
      </c>
      <c r="Y11" s="395">
        <f t="shared" si="28"/>
        <v>0</v>
      </c>
      <c r="Z11" s="395">
        <f t="shared" si="29"/>
        <v>0</v>
      </c>
      <c r="AA11" s="395">
        <f t="shared" si="30"/>
        <v>0</v>
      </c>
      <c r="AB11" s="395">
        <f t="shared" si="31"/>
        <v>0</v>
      </c>
      <c r="AC11" s="395">
        <f t="shared" si="32"/>
        <v>0</v>
      </c>
      <c r="AD11" s="395">
        <f t="shared" si="33"/>
        <v>0</v>
      </c>
      <c r="AE11" s="395">
        <f t="shared" si="34"/>
        <v>0</v>
      </c>
      <c r="AF11" s="395">
        <f t="shared" si="35"/>
        <v>0</v>
      </c>
      <c r="AG11" s="395">
        <f t="shared" si="36"/>
        <v>0</v>
      </c>
      <c r="AH11" s="395">
        <f t="shared" si="37"/>
        <v>0</v>
      </c>
      <c r="AI11" s="395">
        <f t="shared" si="38"/>
        <v>0</v>
      </c>
      <c r="AJ11" s="395">
        <f t="shared" si="39"/>
        <v>0</v>
      </c>
      <c r="AK11" s="396"/>
      <c r="AL11" s="391">
        <v>39253</v>
      </c>
      <c r="AM11" s="397">
        <f t="shared" si="40"/>
        <v>4738777941.6277485</v>
      </c>
      <c r="AN11" s="397">
        <f t="shared" si="41"/>
        <v>179566756.85802191</v>
      </c>
      <c r="AO11" s="397">
        <f t="shared" si="42"/>
        <v>156315657.72027776</v>
      </c>
      <c r="AP11" s="397">
        <f t="shared" si="43"/>
        <v>198437060.74714449</v>
      </c>
      <c r="AQ11" s="397">
        <f t="shared" si="4"/>
        <v>5273097416.9531927</v>
      </c>
      <c r="AR11" s="353"/>
      <c r="AT11" s="391">
        <v>39253</v>
      </c>
      <c r="AU11" s="85">
        <v>0</v>
      </c>
      <c r="AV11" s="85">
        <v>0</v>
      </c>
      <c r="AW11" s="85">
        <v>0</v>
      </c>
      <c r="AX11" s="63">
        <v>0</v>
      </c>
      <c r="AY11" s="63">
        <v>0</v>
      </c>
      <c r="AZ11" s="63">
        <v>0</v>
      </c>
      <c r="BA11" s="63">
        <v>0</v>
      </c>
      <c r="BB11" s="63">
        <v>0</v>
      </c>
      <c r="BC11" s="63">
        <v>0</v>
      </c>
      <c r="BD11" s="63">
        <v>0</v>
      </c>
      <c r="BE11" s="63">
        <v>0</v>
      </c>
      <c r="BF11" s="63">
        <v>0</v>
      </c>
      <c r="BG11" s="63">
        <v>0</v>
      </c>
      <c r="BH11" s="63">
        <v>0</v>
      </c>
      <c r="BI11" s="63">
        <v>0</v>
      </c>
      <c r="BJ11" s="63">
        <v>0</v>
      </c>
      <c r="BL11" s="391">
        <v>39253</v>
      </c>
      <c r="BM11" s="397">
        <f t="shared" si="5"/>
        <v>0</v>
      </c>
      <c r="BN11" s="397">
        <f t="shared" si="6"/>
        <v>0</v>
      </c>
      <c r="BO11" s="397">
        <f t="shared" si="7"/>
        <v>0</v>
      </c>
      <c r="BP11" s="397">
        <f t="shared" si="8"/>
        <v>0</v>
      </c>
      <c r="BQ11" s="397">
        <f t="shared" si="9"/>
        <v>0</v>
      </c>
      <c r="BR11" s="397">
        <f t="shared" si="10"/>
        <v>0</v>
      </c>
      <c r="BS11" s="397">
        <f t="shared" si="11"/>
        <v>0</v>
      </c>
      <c r="BT11" s="397">
        <f t="shared" si="12"/>
        <v>0</v>
      </c>
      <c r="BU11" s="397">
        <f t="shared" si="13"/>
        <v>0</v>
      </c>
      <c r="BV11" s="397">
        <f t="shared" si="14"/>
        <v>0</v>
      </c>
      <c r="BW11" s="397">
        <f t="shared" si="15"/>
        <v>0</v>
      </c>
      <c r="BX11" s="397">
        <f t="shared" si="16"/>
        <v>0</v>
      </c>
      <c r="BY11" s="397">
        <f t="shared" si="17"/>
        <v>0</v>
      </c>
      <c r="BZ11" s="397">
        <f t="shared" si="18"/>
        <v>0</v>
      </c>
      <c r="CA11" s="397">
        <f t="shared" si="19"/>
        <v>0</v>
      </c>
      <c r="CB11" s="397">
        <f t="shared" si="20"/>
        <v>0</v>
      </c>
      <c r="CC11" s="391">
        <v>39253</v>
      </c>
      <c r="CD11" s="397">
        <f t="shared" si="44"/>
        <v>0</v>
      </c>
      <c r="CE11" s="397">
        <f t="shared" si="45"/>
        <v>0</v>
      </c>
      <c r="CF11" s="397">
        <f t="shared" si="46"/>
        <v>0</v>
      </c>
      <c r="CG11" s="397">
        <f t="shared" si="47"/>
        <v>0</v>
      </c>
      <c r="CH11" s="397">
        <f t="shared" si="48"/>
        <v>0</v>
      </c>
      <c r="CI11" s="397">
        <f t="shared" si="49"/>
        <v>0</v>
      </c>
      <c r="CJ11" s="397" t="e">
        <f t="shared" si="50"/>
        <v>#REF!</v>
      </c>
      <c r="CK11" s="397">
        <f t="shared" si="51"/>
        <v>0</v>
      </c>
      <c r="CL11" s="397">
        <f t="shared" si="52"/>
        <v>0</v>
      </c>
      <c r="CM11" s="397">
        <f t="shared" si="53"/>
        <v>0</v>
      </c>
      <c r="CN11" s="397">
        <f t="shared" si="54"/>
        <v>0</v>
      </c>
      <c r="CO11" s="397">
        <f t="shared" si="55"/>
        <v>0</v>
      </c>
      <c r="CP11" s="397">
        <f t="shared" si="56"/>
        <v>0</v>
      </c>
      <c r="CQ11" s="397">
        <f t="shared" si="57"/>
        <v>0</v>
      </c>
      <c r="CR11" s="397">
        <f t="shared" si="58"/>
        <v>0</v>
      </c>
      <c r="CS11" s="397">
        <f t="shared" si="59"/>
        <v>0</v>
      </c>
      <c r="CT11" s="398" t="e">
        <f t="shared" si="60"/>
        <v>#REF!</v>
      </c>
      <c r="CV11" s="391">
        <v>39253</v>
      </c>
      <c r="CW11" s="399">
        <f>+CW$3-SUM(AU$4:AU11)</f>
        <v>618222850.21000004</v>
      </c>
      <c r="CX11" s="399">
        <f>+CX$3-SUM(AV$4:AV11)</f>
        <v>188377010.81999999</v>
      </c>
      <c r="CY11" s="399">
        <f>+CY$3-SUM(AW$4:AW11)</f>
        <v>376500644.19999999</v>
      </c>
      <c r="CZ11" s="399">
        <f>+CZ$3-SUM(AX$4:AX11)</f>
        <v>1368548684.7</v>
      </c>
      <c r="DA11" s="399">
        <f>+DA$3-SUM(AY$4:AY11)</f>
        <v>1139656560.24</v>
      </c>
      <c r="DB11" s="399">
        <f>+DB$3-SUM(AZ$4:AZ11)</f>
        <v>547472191.47000003</v>
      </c>
      <c r="DC11" s="399" t="e">
        <f>+DC$3-SUM(BA$4:BA11)</f>
        <v>#REF!</v>
      </c>
      <c r="DD11" s="399">
        <f>+DD$3-SUM(BB$4:BB11)</f>
        <v>44546365.119999997</v>
      </c>
      <c r="DE11" s="399">
        <f>+DE$3-SUM(BC$4:BC11)</f>
        <v>112020391.73999999</v>
      </c>
      <c r="DF11" s="399">
        <f>+DF$3-SUM(BD$4:BD11)</f>
        <v>23000000</v>
      </c>
      <c r="DG11" s="399">
        <f>+DG$3-SUM(BE$4:BE11)</f>
        <v>39274605.939999998</v>
      </c>
      <c r="DH11" s="399">
        <f>+DH$3-SUM(BF$4:BF11)</f>
        <v>61041051.780000001</v>
      </c>
      <c r="DI11" s="399">
        <f>+DI$3-SUM(BG$4:BG11)</f>
        <v>56000000</v>
      </c>
      <c r="DJ11" s="399">
        <f>+DJ$3-SUM(BH$4:BH11)</f>
        <v>36902314.299999997</v>
      </c>
      <c r="DK11" s="399">
        <f>+DK$3-SUM(BI$4:BI11)</f>
        <v>141534746.44</v>
      </c>
      <c r="DL11" s="399">
        <f>+DL$3-SUM(BJ$4:BJ11)</f>
        <v>20000000</v>
      </c>
    </row>
    <row r="12" spans="1:116" s="106" customFormat="1">
      <c r="A12" s="391">
        <v>39283</v>
      </c>
      <c r="B12" s="392">
        <v>618222850.20864916</v>
      </c>
      <c r="C12" s="392">
        <v>188377010.81551337</v>
      </c>
      <c r="D12" s="392">
        <v>376500644.20109475</v>
      </c>
      <c r="E12" s="392">
        <v>1368548684.6960831</v>
      </c>
      <c r="F12" s="392">
        <v>1139656560.236115</v>
      </c>
      <c r="G12" s="392">
        <v>547472191.47029364</v>
      </c>
      <c r="H12" s="393">
        <v>500000000</v>
      </c>
      <c r="I12" s="393">
        <v>44546365.122041218</v>
      </c>
      <c r="J12" s="393">
        <v>112020391.73598069</v>
      </c>
      <c r="K12" s="393">
        <v>23000000</v>
      </c>
      <c r="L12" s="393">
        <v>39274605.936000846</v>
      </c>
      <c r="M12" s="393">
        <v>61041051.784276903</v>
      </c>
      <c r="N12" s="393">
        <v>56000000</v>
      </c>
      <c r="O12" s="393">
        <v>36902314.302282669</v>
      </c>
      <c r="P12" s="393">
        <v>141534746.44486183</v>
      </c>
      <c r="Q12" s="393">
        <v>20000000</v>
      </c>
      <c r="R12" s="394">
        <f t="shared" si="2"/>
        <v>5273097416.9531918</v>
      </c>
      <c r="S12" s="391">
        <v>39283</v>
      </c>
      <c r="T12" s="395">
        <f t="shared" si="23"/>
        <v>0</v>
      </c>
      <c r="U12" s="395">
        <f t="shared" si="24"/>
        <v>0</v>
      </c>
      <c r="V12" s="395">
        <f t="shared" si="25"/>
        <v>0</v>
      </c>
      <c r="W12" s="395">
        <f t="shared" si="26"/>
        <v>0</v>
      </c>
      <c r="X12" s="395">
        <f t="shared" si="27"/>
        <v>0</v>
      </c>
      <c r="Y12" s="395">
        <f t="shared" si="28"/>
        <v>0</v>
      </c>
      <c r="Z12" s="395">
        <f t="shared" si="29"/>
        <v>0</v>
      </c>
      <c r="AA12" s="395">
        <f t="shared" si="30"/>
        <v>0</v>
      </c>
      <c r="AB12" s="395">
        <f t="shared" si="31"/>
        <v>0</v>
      </c>
      <c r="AC12" s="395">
        <f t="shared" si="32"/>
        <v>0</v>
      </c>
      <c r="AD12" s="395">
        <f t="shared" si="33"/>
        <v>0</v>
      </c>
      <c r="AE12" s="395">
        <f t="shared" si="34"/>
        <v>0</v>
      </c>
      <c r="AF12" s="395">
        <f t="shared" si="35"/>
        <v>0</v>
      </c>
      <c r="AG12" s="395">
        <f t="shared" si="36"/>
        <v>0</v>
      </c>
      <c r="AH12" s="395">
        <f t="shared" si="37"/>
        <v>0</v>
      </c>
      <c r="AI12" s="395">
        <f t="shared" si="38"/>
        <v>0</v>
      </c>
      <c r="AJ12" s="395">
        <f t="shared" si="39"/>
        <v>0</v>
      </c>
      <c r="AK12" s="396"/>
      <c r="AL12" s="391">
        <v>39283</v>
      </c>
      <c r="AM12" s="397">
        <f t="shared" si="40"/>
        <v>4738777941.6277485</v>
      </c>
      <c r="AN12" s="397">
        <f t="shared" si="41"/>
        <v>179566756.85802191</v>
      </c>
      <c r="AO12" s="397">
        <f t="shared" si="42"/>
        <v>156315657.72027776</v>
      </c>
      <c r="AP12" s="397">
        <f t="shared" si="43"/>
        <v>198437060.74714449</v>
      </c>
      <c r="AQ12" s="397">
        <f t="shared" si="4"/>
        <v>5273097416.9531927</v>
      </c>
      <c r="AR12" s="353"/>
      <c r="AT12" s="391">
        <v>39283</v>
      </c>
      <c r="AU12" s="85">
        <v>0</v>
      </c>
      <c r="AV12" s="85">
        <v>0</v>
      </c>
      <c r="AW12" s="85">
        <v>0</v>
      </c>
      <c r="AX12" s="63">
        <v>0</v>
      </c>
      <c r="AY12" s="63">
        <v>0</v>
      </c>
      <c r="AZ12" s="63">
        <v>0</v>
      </c>
      <c r="BA12" s="63">
        <v>0</v>
      </c>
      <c r="BB12" s="63">
        <v>0</v>
      </c>
      <c r="BC12" s="63">
        <v>0</v>
      </c>
      <c r="BD12" s="63">
        <v>0</v>
      </c>
      <c r="BE12" s="63">
        <v>0</v>
      </c>
      <c r="BF12" s="63">
        <v>0</v>
      </c>
      <c r="BG12" s="63">
        <v>0</v>
      </c>
      <c r="BH12" s="63">
        <v>0</v>
      </c>
      <c r="BI12" s="63">
        <v>0</v>
      </c>
      <c r="BJ12" s="63">
        <v>0</v>
      </c>
      <c r="BL12" s="391">
        <v>39283</v>
      </c>
      <c r="BM12" s="397">
        <f t="shared" si="5"/>
        <v>0</v>
      </c>
      <c r="BN12" s="397">
        <f t="shared" si="6"/>
        <v>0</v>
      </c>
      <c r="BO12" s="397">
        <f t="shared" si="7"/>
        <v>0</v>
      </c>
      <c r="BP12" s="397">
        <f t="shared" si="8"/>
        <v>0</v>
      </c>
      <c r="BQ12" s="397">
        <f t="shared" si="9"/>
        <v>0</v>
      </c>
      <c r="BR12" s="397">
        <f t="shared" si="10"/>
        <v>0</v>
      </c>
      <c r="BS12" s="397">
        <f t="shared" si="11"/>
        <v>0</v>
      </c>
      <c r="BT12" s="397">
        <f t="shared" si="12"/>
        <v>0</v>
      </c>
      <c r="BU12" s="397">
        <f t="shared" si="13"/>
        <v>0</v>
      </c>
      <c r="BV12" s="397">
        <f t="shared" si="14"/>
        <v>0</v>
      </c>
      <c r="BW12" s="397">
        <f t="shared" si="15"/>
        <v>0</v>
      </c>
      <c r="BX12" s="397">
        <f t="shared" si="16"/>
        <v>0</v>
      </c>
      <c r="BY12" s="397">
        <f t="shared" si="17"/>
        <v>0</v>
      </c>
      <c r="BZ12" s="397">
        <f t="shared" si="18"/>
        <v>0</v>
      </c>
      <c r="CA12" s="397">
        <f t="shared" si="19"/>
        <v>0</v>
      </c>
      <c r="CB12" s="397">
        <f t="shared" si="20"/>
        <v>0</v>
      </c>
      <c r="CC12" s="391">
        <v>39283</v>
      </c>
      <c r="CD12" s="397">
        <f t="shared" si="44"/>
        <v>0</v>
      </c>
      <c r="CE12" s="397">
        <f t="shared" si="45"/>
        <v>0</v>
      </c>
      <c r="CF12" s="397">
        <f t="shared" si="46"/>
        <v>0</v>
      </c>
      <c r="CG12" s="397">
        <f t="shared" si="47"/>
        <v>0</v>
      </c>
      <c r="CH12" s="397">
        <f t="shared" si="48"/>
        <v>0</v>
      </c>
      <c r="CI12" s="397">
        <f t="shared" si="49"/>
        <v>0</v>
      </c>
      <c r="CJ12" s="397" t="e">
        <f t="shared" si="50"/>
        <v>#REF!</v>
      </c>
      <c r="CK12" s="397">
        <f t="shared" si="51"/>
        <v>0</v>
      </c>
      <c r="CL12" s="397">
        <f t="shared" si="52"/>
        <v>0</v>
      </c>
      <c r="CM12" s="397">
        <f t="shared" si="53"/>
        <v>0</v>
      </c>
      <c r="CN12" s="397">
        <f t="shared" si="54"/>
        <v>0</v>
      </c>
      <c r="CO12" s="397">
        <f t="shared" si="55"/>
        <v>0</v>
      </c>
      <c r="CP12" s="397">
        <f t="shared" si="56"/>
        <v>0</v>
      </c>
      <c r="CQ12" s="397">
        <f t="shared" si="57"/>
        <v>0</v>
      </c>
      <c r="CR12" s="397">
        <f t="shared" si="58"/>
        <v>0</v>
      </c>
      <c r="CS12" s="397">
        <f t="shared" si="59"/>
        <v>0</v>
      </c>
      <c r="CT12" s="398" t="e">
        <f t="shared" si="60"/>
        <v>#REF!</v>
      </c>
      <c r="CV12" s="391">
        <v>39283</v>
      </c>
      <c r="CW12" s="399">
        <f>+CW$3-SUM(AU$4:AU12)</f>
        <v>618222850.21000004</v>
      </c>
      <c r="CX12" s="399">
        <f>+CX$3-SUM(AV$4:AV12)</f>
        <v>188377010.81999999</v>
      </c>
      <c r="CY12" s="399">
        <f>+CY$3-SUM(AW$4:AW12)</f>
        <v>376500644.19999999</v>
      </c>
      <c r="CZ12" s="399">
        <f>+CZ$3-SUM(AX$4:AX12)</f>
        <v>1368548684.7</v>
      </c>
      <c r="DA12" s="399">
        <f>+DA$3-SUM(AY$4:AY12)</f>
        <v>1139656560.24</v>
      </c>
      <c r="DB12" s="399">
        <f>+DB$3-SUM(AZ$4:AZ12)</f>
        <v>547472191.47000003</v>
      </c>
      <c r="DC12" s="399" t="e">
        <f>+DC$3-SUM(BA$4:BA12)</f>
        <v>#REF!</v>
      </c>
      <c r="DD12" s="399">
        <f>+DD$3-SUM(BB$4:BB12)</f>
        <v>44546365.119999997</v>
      </c>
      <c r="DE12" s="399">
        <f>+DE$3-SUM(BC$4:BC12)</f>
        <v>112020391.73999999</v>
      </c>
      <c r="DF12" s="399">
        <f>+DF$3-SUM(BD$4:BD12)</f>
        <v>23000000</v>
      </c>
      <c r="DG12" s="399">
        <f>+DG$3-SUM(BE$4:BE12)</f>
        <v>39274605.939999998</v>
      </c>
      <c r="DH12" s="399">
        <f>+DH$3-SUM(BF$4:BF12)</f>
        <v>61041051.780000001</v>
      </c>
      <c r="DI12" s="399">
        <f>+DI$3-SUM(BG$4:BG12)</f>
        <v>56000000</v>
      </c>
      <c r="DJ12" s="399">
        <f>+DJ$3-SUM(BH$4:BH12)</f>
        <v>36902314.299999997</v>
      </c>
      <c r="DK12" s="399">
        <f>+DK$3-SUM(BI$4:BI12)</f>
        <v>141534746.44</v>
      </c>
      <c r="DL12" s="399">
        <f>+DL$3-SUM(BJ$4:BJ12)</f>
        <v>20000000</v>
      </c>
    </row>
    <row r="13" spans="1:116" s="106" customFormat="1">
      <c r="A13" s="391">
        <v>39314</v>
      </c>
      <c r="B13" s="392">
        <v>468579020.90567768</v>
      </c>
      <c r="C13" s="392">
        <v>142779444.7573083</v>
      </c>
      <c r="D13" s="392">
        <v>285366843.31639361</v>
      </c>
      <c r="E13" s="392">
        <v>1368548684.6960831</v>
      </c>
      <c r="F13" s="392">
        <v>1139656560.236115</v>
      </c>
      <c r="G13" s="392">
        <v>547472191.47029364</v>
      </c>
      <c r="H13" s="393">
        <v>500000000</v>
      </c>
      <c r="I13" s="393">
        <v>44546365.122041218</v>
      </c>
      <c r="J13" s="393">
        <v>112020391.73598069</v>
      </c>
      <c r="K13" s="393">
        <v>23000000</v>
      </c>
      <c r="L13" s="393">
        <v>39274605.936000846</v>
      </c>
      <c r="M13" s="393">
        <v>61041051.784276903</v>
      </c>
      <c r="N13" s="393">
        <v>56000000</v>
      </c>
      <c r="O13" s="393">
        <v>36902314.302282669</v>
      </c>
      <c r="P13" s="393">
        <v>141534746.44486183</v>
      </c>
      <c r="Q13" s="393">
        <v>20000000</v>
      </c>
      <c r="R13" s="394">
        <f t="shared" si="2"/>
        <v>4986722220.7073145</v>
      </c>
      <c r="S13" s="391">
        <v>39314</v>
      </c>
      <c r="T13" s="395">
        <f t="shared" si="23"/>
        <v>149643829.30000001</v>
      </c>
      <c r="U13" s="395">
        <f t="shared" si="24"/>
        <v>45597566.060000002</v>
      </c>
      <c r="V13" s="395">
        <f t="shared" si="25"/>
        <v>91133800.879999995</v>
      </c>
      <c r="W13" s="395">
        <f t="shared" si="26"/>
        <v>0</v>
      </c>
      <c r="X13" s="395">
        <f t="shared" si="27"/>
        <v>0</v>
      </c>
      <c r="Y13" s="395">
        <f t="shared" si="28"/>
        <v>0</v>
      </c>
      <c r="Z13" s="395">
        <f t="shared" si="29"/>
        <v>0</v>
      </c>
      <c r="AA13" s="395">
        <f t="shared" si="30"/>
        <v>0</v>
      </c>
      <c r="AB13" s="395">
        <f t="shared" si="31"/>
        <v>0</v>
      </c>
      <c r="AC13" s="395">
        <f t="shared" si="32"/>
        <v>0</v>
      </c>
      <c r="AD13" s="395">
        <f t="shared" si="33"/>
        <v>0</v>
      </c>
      <c r="AE13" s="395">
        <f t="shared" si="34"/>
        <v>0</v>
      </c>
      <c r="AF13" s="395">
        <f t="shared" si="35"/>
        <v>0</v>
      </c>
      <c r="AG13" s="395">
        <f t="shared" si="36"/>
        <v>0</v>
      </c>
      <c r="AH13" s="395">
        <f t="shared" si="37"/>
        <v>0</v>
      </c>
      <c r="AI13" s="395">
        <f t="shared" si="38"/>
        <v>0</v>
      </c>
      <c r="AJ13" s="395">
        <f t="shared" si="39"/>
        <v>286375196.24000001</v>
      </c>
      <c r="AK13" s="396"/>
      <c r="AL13" s="391">
        <v>39314</v>
      </c>
      <c r="AM13" s="397">
        <f>+SUM(B13:H13)</f>
        <v>4452402745.3818712</v>
      </c>
      <c r="AN13" s="397">
        <f t="shared" si="41"/>
        <v>179566756.85802191</v>
      </c>
      <c r="AO13" s="397">
        <f t="shared" si="42"/>
        <v>156315657.72027776</v>
      </c>
      <c r="AP13" s="397">
        <f t="shared" si="43"/>
        <v>198437060.74714449</v>
      </c>
      <c r="AQ13" s="397">
        <f t="shared" si="4"/>
        <v>4986722220.7073154</v>
      </c>
      <c r="AR13" s="353"/>
      <c r="AT13" s="391">
        <v>39314</v>
      </c>
      <c r="AU13" s="85">
        <v>149643829.30000001</v>
      </c>
      <c r="AV13" s="85">
        <v>45597566.060000002</v>
      </c>
      <c r="AW13" s="85">
        <v>91133800.879999995</v>
      </c>
      <c r="AX13" s="63">
        <v>0</v>
      </c>
      <c r="AY13" s="63">
        <v>0</v>
      </c>
      <c r="AZ13" s="63">
        <v>0</v>
      </c>
      <c r="BA13" s="63">
        <v>0</v>
      </c>
      <c r="BB13" s="63">
        <v>0</v>
      </c>
      <c r="BC13" s="63">
        <v>0</v>
      </c>
      <c r="BD13" s="63">
        <v>0</v>
      </c>
      <c r="BE13" s="63">
        <v>0</v>
      </c>
      <c r="BF13" s="63">
        <v>0</v>
      </c>
      <c r="BG13" s="63">
        <v>0</v>
      </c>
      <c r="BH13" s="63">
        <v>0</v>
      </c>
      <c r="BI13" s="63">
        <v>0</v>
      </c>
      <c r="BJ13" s="63">
        <v>0</v>
      </c>
      <c r="BL13" s="391">
        <v>39314</v>
      </c>
      <c r="BM13" s="397">
        <f t="shared" si="5"/>
        <v>0</v>
      </c>
      <c r="BN13" s="397">
        <f t="shared" si="6"/>
        <v>0</v>
      </c>
      <c r="BO13" s="397">
        <f t="shared" si="7"/>
        <v>0</v>
      </c>
      <c r="BP13" s="397">
        <f t="shared" si="8"/>
        <v>0</v>
      </c>
      <c r="BQ13" s="397">
        <f t="shared" si="9"/>
        <v>0</v>
      </c>
      <c r="BR13" s="397">
        <f t="shared" si="10"/>
        <v>0</v>
      </c>
      <c r="BS13" s="397">
        <f t="shared" si="11"/>
        <v>0</v>
      </c>
      <c r="BT13" s="397">
        <f t="shared" si="12"/>
        <v>0</v>
      </c>
      <c r="BU13" s="397">
        <f t="shared" si="13"/>
        <v>0</v>
      </c>
      <c r="BV13" s="397">
        <f t="shared" si="14"/>
        <v>0</v>
      </c>
      <c r="BW13" s="397">
        <f t="shared" si="15"/>
        <v>0</v>
      </c>
      <c r="BX13" s="397">
        <f t="shared" si="16"/>
        <v>0</v>
      </c>
      <c r="BY13" s="397">
        <f t="shared" si="17"/>
        <v>0</v>
      </c>
      <c r="BZ13" s="397">
        <f t="shared" si="18"/>
        <v>0</v>
      </c>
      <c r="CA13" s="397">
        <f t="shared" si="19"/>
        <v>0</v>
      </c>
      <c r="CB13" s="397">
        <f t="shared" si="20"/>
        <v>0</v>
      </c>
      <c r="CC13" s="391">
        <v>39314</v>
      </c>
      <c r="CD13" s="397">
        <f t="shared" si="44"/>
        <v>0</v>
      </c>
      <c r="CE13" s="397">
        <f t="shared" si="45"/>
        <v>0</v>
      </c>
      <c r="CF13" s="397">
        <f t="shared" si="46"/>
        <v>0</v>
      </c>
      <c r="CG13" s="397">
        <f t="shared" si="47"/>
        <v>0</v>
      </c>
      <c r="CH13" s="397">
        <f t="shared" si="48"/>
        <v>0</v>
      </c>
      <c r="CI13" s="397">
        <f t="shared" si="49"/>
        <v>0</v>
      </c>
      <c r="CJ13" s="397" t="e">
        <f t="shared" si="50"/>
        <v>#REF!</v>
      </c>
      <c r="CK13" s="397">
        <f t="shared" si="51"/>
        <v>0</v>
      </c>
      <c r="CL13" s="397">
        <f t="shared" si="52"/>
        <v>0</v>
      </c>
      <c r="CM13" s="397">
        <f t="shared" si="53"/>
        <v>0</v>
      </c>
      <c r="CN13" s="397">
        <f t="shared" si="54"/>
        <v>0</v>
      </c>
      <c r="CO13" s="397">
        <f t="shared" si="55"/>
        <v>0</v>
      </c>
      <c r="CP13" s="397">
        <f t="shared" si="56"/>
        <v>0</v>
      </c>
      <c r="CQ13" s="397">
        <f t="shared" si="57"/>
        <v>0</v>
      </c>
      <c r="CR13" s="397">
        <f t="shared" si="58"/>
        <v>0</v>
      </c>
      <c r="CS13" s="397">
        <f t="shared" si="59"/>
        <v>0</v>
      </c>
      <c r="CT13" s="398" t="e">
        <f t="shared" si="60"/>
        <v>#REF!</v>
      </c>
      <c r="CV13" s="391">
        <v>39314</v>
      </c>
      <c r="CW13" s="399">
        <f>+CW$3-SUM(AU$4:AU13)</f>
        <v>468579020.91000003</v>
      </c>
      <c r="CX13" s="399">
        <f>+CX$3-SUM(AV$4:AV13)</f>
        <v>142779444.75999999</v>
      </c>
      <c r="CY13" s="399">
        <f>+CY$3-SUM(AW$4:AW13)</f>
        <v>285366843.31999999</v>
      </c>
      <c r="CZ13" s="399">
        <f>+CZ$3-SUM(AX$4:AX13)</f>
        <v>1368548684.7</v>
      </c>
      <c r="DA13" s="399">
        <f>+DA$3-SUM(AY$4:AY13)</f>
        <v>1139656560.24</v>
      </c>
      <c r="DB13" s="399">
        <f>+DB$3-SUM(AZ$4:AZ13)</f>
        <v>547472191.47000003</v>
      </c>
      <c r="DC13" s="399" t="e">
        <f>+DC$3-SUM(BA$4:BA13)</f>
        <v>#REF!</v>
      </c>
      <c r="DD13" s="399">
        <f>+DD$3-SUM(BB$4:BB13)</f>
        <v>44546365.119999997</v>
      </c>
      <c r="DE13" s="399">
        <f>+DE$3-SUM(BC$4:BC13)</f>
        <v>112020391.73999999</v>
      </c>
      <c r="DF13" s="399">
        <f>+DF$3-SUM(BD$4:BD13)</f>
        <v>23000000</v>
      </c>
      <c r="DG13" s="399">
        <f>+DG$3-SUM(BE$4:BE13)</f>
        <v>39274605.939999998</v>
      </c>
      <c r="DH13" s="399">
        <f>+DH$3-SUM(BF$4:BF13)</f>
        <v>61041051.780000001</v>
      </c>
      <c r="DI13" s="399">
        <f>+DI$3-SUM(BG$4:BG13)</f>
        <v>56000000</v>
      </c>
      <c r="DJ13" s="399">
        <f>+DJ$3-SUM(BH$4:BH13)</f>
        <v>36902314.299999997</v>
      </c>
      <c r="DK13" s="399">
        <f>+DK$3-SUM(BI$4:BI13)</f>
        <v>141534746.44</v>
      </c>
      <c r="DL13" s="399">
        <f>+DL$3-SUM(BJ$4:BJ13)</f>
        <v>20000000</v>
      </c>
    </row>
    <row r="14" spans="1:116" s="106" customFormat="1">
      <c r="A14" s="391">
        <v>39345</v>
      </c>
      <c r="B14" s="392">
        <v>468579020.90567768</v>
      </c>
      <c r="C14" s="392">
        <v>142779444.7573083</v>
      </c>
      <c r="D14" s="392">
        <v>285366843.31639361</v>
      </c>
      <c r="E14" s="392">
        <v>1368548684.6960831</v>
      </c>
      <c r="F14" s="392">
        <v>1139656560.236115</v>
      </c>
      <c r="G14" s="392">
        <v>547472191.47029364</v>
      </c>
      <c r="H14" s="393">
        <v>500000000</v>
      </c>
      <c r="I14" s="393">
        <v>44546365.122041218</v>
      </c>
      <c r="J14" s="393">
        <v>112020391.73598069</v>
      </c>
      <c r="K14" s="393">
        <v>23000000</v>
      </c>
      <c r="L14" s="393">
        <v>39274605.936000846</v>
      </c>
      <c r="M14" s="393">
        <v>61041051.784276903</v>
      </c>
      <c r="N14" s="393">
        <v>56000000</v>
      </c>
      <c r="O14" s="393">
        <v>36902314.302282669</v>
      </c>
      <c r="P14" s="393">
        <v>141534746.44486183</v>
      </c>
      <c r="Q14" s="393">
        <v>20000000</v>
      </c>
      <c r="R14" s="394">
        <f t="shared" si="2"/>
        <v>4986722220.7073145</v>
      </c>
      <c r="S14" s="391">
        <v>39345</v>
      </c>
      <c r="T14" s="395">
        <f t="shared" si="23"/>
        <v>0</v>
      </c>
      <c r="U14" s="395">
        <f t="shared" si="24"/>
        <v>0</v>
      </c>
      <c r="V14" s="395">
        <f t="shared" si="25"/>
        <v>0</v>
      </c>
      <c r="W14" s="395">
        <f t="shared" si="26"/>
        <v>0</v>
      </c>
      <c r="X14" s="395">
        <f t="shared" si="27"/>
        <v>0</v>
      </c>
      <c r="Y14" s="395">
        <f t="shared" si="28"/>
        <v>0</v>
      </c>
      <c r="Z14" s="395">
        <f t="shared" si="29"/>
        <v>0</v>
      </c>
      <c r="AA14" s="395">
        <f t="shared" si="30"/>
        <v>0</v>
      </c>
      <c r="AB14" s="395">
        <f t="shared" si="31"/>
        <v>0</v>
      </c>
      <c r="AC14" s="395">
        <f t="shared" si="32"/>
        <v>0</v>
      </c>
      <c r="AD14" s="395">
        <f t="shared" si="33"/>
        <v>0</v>
      </c>
      <c r="AE14" s="395">
        <f t="shared" si="34"/>
        <v>0</v>
      </c>
      <c r="AF14" s="395">
        <f t="shared" si="35"/>
        <v>0</v>
      </c>
      <c r="AG14" s="395">
        <f t="shared" si="36"/>
        <v>0</v>
      </c>
      <c r="AH14" s="395">
        <f t="shared" si="37"/>
        <v>0</v>
      </c>
      <c r="AI14" s="395">
        <f t="shared" si="38"/>
        <v>0</v>
      </c>
      <c r="AJ14" s="395">
        <f t="shared" si="39"/>
        <v>0</v>
      </c>
      <c r="AK14" s="396"/>
      <c r="AL14" s="391">
        <v>39345</v>
      </c>
      <c r="AM14" s="397">
        <f t="shared" si="40"/>
        <v>4452402745.3818712</v>
      </c>
      <c r="AN14" s="397">
        <f t="shared" si="41"/>
        <v>179566756.85802191</v>
      </c>
      <c r="AO14" s="397">
        <f t="shared" si="42"/>
        <v>156315657.72027776</v>
      </c>
      <c r="AP14" s="397">
        <f t="shared" si="43"/>
        <v>198437060.74714449</v>
      </c>
      <c r="AQ14" s="397">
        <f t="shared" si="4"/>
        <v>4986722220.7073154</v>
      </c>
      <c r="AR14" s="353"/>
      <c r="AT14" s="391">
        <v>39345</v>
      </c>
      <c r="AU14" s="85">
        <v>0</v>
      </c>
      <c r="AV14" s="85">
        <v>0</v>
      </c>
      <c r="AW14" s="85">
        <v>0</v>
      </c>
      <c r="AX14" s="63">
        <v>0</v>
      </c>
      <c r="AY14" s="63">
        <v>0</v>
      </c>
      <c r="AZ14" s="63">
        <v>0</v>
      </c>
      <c r="BA14" s="63">
        <v>0</v>
      </c>
      <c r="BB14" s="63">
        <v>0</v>
      </c>
      <c r="BC14" s="63">
        <v>0</v>
      </c>
      <c r="BD14" s="63">
        <v>0</v>
      </c>
      <c r="BE14" s="63">
        <v>0</v>
      </c>
      <c r="BF14" s="63">
        <v>0</v>
      </c>
      <c r="BG14" s="63">
        <v>0</v>
      </c>
      <c r="BH14" s="63">
        <v>0</v>
      </c>
      <c r="BI14" s="63">
        <v>0</v>
      </c>
      <c r="BJ14" s="63">
        <v>0</v>
      </c>
      <c r="BL14" s="391">
        <v>39345</v>
      </c>
      <c r="BM14" s="397">
        <f t="shared" si="5"/>
        <v>0</v>
      </c>
      <c r="BN14" s="397">
        <f t="shared" si="6"/>
        <v>0</v>
      </c>
      <c r="BO14" s="397">
        <f t="shared" si="7"/>
        <v>0</v>
      </c>
      <c r="BP14" s="397">
        <f t="shared" si="8"/>
        <v>0</v>
      </c>
      <c r="BQ14" s="397">
        <f t="shared" si="9"/>
        <v>0</v>
      </c>
      <c r="BR14" s="397">
        <f t="shared" si="10"/>
        <v>0</v>
      </c>
      <c r="BS14" s="397">
        <f t="shared" si="11"/>
        <v>0</v>
      </c>
      <c r="BT14" s="397">
        <f t="shared" si="12"/>
        <v>0</v>
      </c>
      <c r="BU14" s="397">
        <f t="shared" si="13"/>
        <v>0</v>
      </c>
      <c r="BV14" s="397">
        <f t="shared" si="14"/>
        <v>0</v>
      </c>
      <c r="BW14" s="397">
        <f t="shared" si="15"/>
        <v>0</v>
      </c>
      <c r="BX14" s="397">
        <f t="shared" si="16"/>
        <v>0</v>
      </c>
      <c r="BY14" s="397">
        <f t="shared" si="17"/>
        <v>0</v>
      </c>
      <c r="BZ14" s="397">
        <f t="shared" si="18"/>
        <v>0</v>
      </c>
      <c r="CA14" s="397">
        <f t="shared" si="19"/>
        <v>0</v>
      </c>
      <c r="CB14" s="397">
        <f t="shared" si="20"/>
        <v>0</v>
      </c>
      <c r="CC14" s="391">
        <v>39345</v>
      </c>
      <c r="CD14" s="397">
        <f t="shared" si="44"/>
        <v>0</v>
      </c>
      <c r="CE14" s="397">
        <f t="shared" si="45"/>
        <v>0</v>
      </c>
      <c r="CF14" s="397">
        <f t="shared" si="46"/>
        <v>0</v>
      </c>
      <c r="CG14" s="397">
        <f t="shared" si="47"/>
        <v>0</v>
      </c>
      <c r="CH14" s="397">
        <f t="shared" si="48"/>
        <v>0</v>
      </c>
      <c r="CI14" s="397">
        <f t="shared" si="49"/>
        <v>0</v>
      </c>
      <c r="CJ14" s="397" t="e">
        <f t="shared" si="50"/>
        <v>#REF!</v>
      </c>
      <c r="CK14" s="397">
        <f t="shared" si="51"/>
        <v>0</v>
      </c>
      <c r="CL14" s="397">
        <f t="shared" si="52"/>
        <v>0</v>
      </c>
      <c r="CM14" s="397">
        <f t="shared" si="53"/>
        <v>0</v>
      </c>
      <c r="CN14" s="397">
        <f t="shared" si="54"/>
        <v>0</v>
      </c>
      <c r="CO14" s="397">
        <f t="shared" si="55"/>
        <v>0</v>
      </c>
      <c r="CP14" s="397">
        <f t="shared" si="56"/>
        <v>0</v>
      </c>
      <c r="CQ14" s="397">
        <f t="shared" si="57"/>
        <v>0</v>
      </c>
      <c r="CR14" s="397">
        <f t="shared" si="58"/>
        <v>0</v>
      </c>
      <c r="CS14" s="397">
        <f t="shared" si="59"/>
        <v>0</v>
      </c>
      <c r="CT14" s="398" t="e">
        <f t="shared" si="60"/>
        <v>#REF!</v>
      </c>
      <c r="CV14" s="391">
        <v>39345</v>
      </c>
      <c r="CW14" s="399">
        <f>+CW$3-SUM(AU$4:AU14)</f>
        <v>468579020.91000003</v>
      </c>
      <c r="CX14" s="399">
        <f>+CX$3-SUM(AV$4:AV14)</f>
        <v>142779444.75999999</v>
      </c>
      <c r="CY14" s="399">
        <f>+CY$3-SUM(AW$4:AW14)</f>
        <v>285366843.31999999</v>
      </c>
      <c r="CZ14" s="399">
        <f>+CZ$3-SUM(AX$4:AX14)</f>
        <v>1368548684.7</v>
      </c>
      <c r="DA14" s="399">
        <f>+DA$3-SUM(AY$4:AY14)</f>
        <v>1139656560.24</v>
      </c>
      <c r="DB14" s="399">
        <f>+DB$3-SUM(AZ$4:AZ14)</f>
        <v>547472191.47000003</v>
      </c>
      <c r="DC14" s="399" t="e">
        <f>+DC$3-SUM(BA$4:BA14)</f>
        <v>#REF!</v>
      </c>
      <c r="DD14" s="399">
        <f>+DD$3-SUM(BB$4:BB14)</f>
        <v>44546365.119999997</v>
      </c>
      <c r="DE14" s="399">
        <f>+DE$3-SUM(BC$4:BC14)</f>
        <v>112020391.73999999</v>
      </c>
      <c r="DF14" s="399">
        <f>+DF$3-SUM(BD$4:BD14)</f>
        <v>23000000</v>
      </c>
      <c r="DG14" s="399">
        <f>+DG$3-SUM(BE$4:BE14)</f>
        <v>39274605.939999998</v>
      </c>
      <c r="DH14" s="399">
        <f>+DH$3-SUM(BF$4:BF14)</f>
        <v>61041051.780000001</v>
      </c>
      <c r="DI14" s="399">
        <f>+DI$3-SUM(BG$4:BG14)</f>
        <v>56000000</v>
      </c>
      <c r="DJ14" s="399">
        <f>+DJ$3-SUM(BH$4:BH14)</f>
        <v>36902314.299999997</v>
      </c>
      <c r="DK14" s="399">
        <f>+DK$3-SUM(BI$4:BI14)</f>
        <v>141534746.44</v>
      </c>
      <c r="DL14" s="399">
        <f>+DL$3-SUM(BJ$4:BJ14)</f>
        <v>20000000</v>
      </c>
    </row>
    <row r="15" spans="1:116" s="106" customFormat="1">
      <c r="A15" s="391">
        <v>39375</v>
      </c>
      <c r="B15" s="392">
        <v>468579020.90567768</v>
      </c>
      <c r="C15" s="392">
        <v>142779444.7573083</v>
      </c>
      <c r="D15" s="392">
        <v>285366843.31639361</v>
      </c>
      <c r="E15" s="392">
        <v>1368548684.6960831</v>
      </c>
      <c r="F15" s="392">
        <v>1139656560.236115</v>
      </c>
      <c r="G15" s="392">
        <v>547472191.47029364</v>
      </c>
      <c r="H15" s="393">
        <v>500000000</v>
      </c>
      <c r="I15" s="393">
        <v>44546365.122041218</v>
      </c>
      <c r="J15" s="393">
        <v>112020391.73598069</v>
      </c>
      <c r="K15" s="393">
        <v>23000000</v>
      </c>
      <c r="L15" s="393">
        <v>39274605.936000846</v>
      </c>
      <c r="M15" s="393">
        <v>61041051.784276903</v>
      </c>
      <c r="N15" s="393">
        <v>56000000</v>
      </c>
      <c r="O15" s="393">
        <v>36902314.302282669</v>
      </c>
      <c r="P15" s="393">
        <v>141534746.44486183</v>
      </c>
      <c r="Q15" s="393">
        <v>20000000</v>
      </c>
      <c r="R15" s="394">
        <f t="shared" si="2"/>
        <v>4986722220.7073145</v>
      </c>
      <c r="S15" s="391">
        <v>39375</v>
      </c>
      <c r="T15" s="395">
        <f t="shared" si="23"/>
        <v>0</v>
      </c>
      <c r="U15" s="395">
        <f t="shared" si="24"/>
        <v>0</v>
      </c>
      <c r="V15" s="395">
        <f t="shared" si="25"/>
        <v>0</v>
      </c>
      <c r="W15" s="395">
        <f t="shared" si="26"/>
        <v>0</v>
      </c>
      <c r="X15" s="395">
        <f t="shared" si="27"/>
        <v>0</v>
      </c>
      <c r="Y15" s="395">
        <f t="shared" si="28"/>
        <v>0</v>
      </c>
      <c r="Z15" s="395">
        <f t="shared" si="29"/>
        <v>0</v>
      </c>
      <c r="AA15" s="395">
        <f t="shared" si="30"/>
        <v>0</v>
      </c>
      <c r="AB15" s="395">
        <f t="shared" si="31"/>
        <v>0</v>
      </c>
      <c r="AC15" s="395">
        <f t="shared" si="32"/>
        <v>0</v>
      </c>
      <c r="AD15" s="395">
        <f t="shared" si="33"/>
        <v>0</v>
      </c>
      <c r="AE15" s="395">
        <f t="shared" si="34"/>
        <v>0</v>
      </c>
      <c r="AF15" s="395">
        <f t="shared" si="35"/>
        <v>0</v>
      </c>
      <c r="AG15" s="395">
        <f t="shared" si="36"/>
        <v>0</v>
      </c>
      <c r="AH15" s="395">
        <f t="shared" si="37"/>
        <v>0</v>
      </c>
      <c r="AI15" s="395">
        <f t="shared" si="38"/>
        <v>0</v>
      </c>
      <c r="AJ15" s="395">
        <f t="shared" si="39"/>
        <v>0</v>
      </c>
      <c r="AK15" s="396"/>
      <c r="AL15" s="391">
        <v>39375</v>
      </c>
      <c r="AM15" s="397">
        <f t="shared" si="40"/>
        <v>4452402745.3818712</v>
      </c>
      <c r="AN15" s="397">
        <f t="shared" si="41"/>
        <v>179566756.85802191</v>
      </c>
      <c r="AO15" s="397">
        <f t="shared" si="42"/>
        <v>156315657.72027776</v>
      </c>
      <c r="AP15" s="397">
        <f t="shared" si="43"/>
        <v>198437060.74714449</v>
      </c>
      <c r="AQ15" s="397">
        <f t="shared" si="4"/>
        <v>4986722220.7073154</v>
      </c>
      <c r="AR15" s="353"/>
      <c r="AT15" s="391">
        <v>39375</v>
      </c>
      <c r="AU15" s="85">
        <v>0</v>
      </c>
      <c r="AV15" s="85">
        <v>0</v>
      </c>
      <c r="AW15" s="85">
        <v>0</v>
      </c>
      <c r="AX15" s="63">
        <v>0</v>
      </c>
      <c r="AY15" s="63">
        <v>0</v>
      </c>
      <c r="AZ15" s="63">
        <v>0</v>
      </c>
      <c r="BA15" s="63">
        <v>0</v>
      </c>
      <c r="BB15" s="63">
        <v>0</v>
      </c>
      <c r="BC15" s="63">
        <v>0</v>
      </c>
      <c r="BD15" s="63">
        <v>0</v>
      </c>
      <c r="BE15" s="63">
        <v>0</v>
      </c>
      <c r="BF15" s="63">
        <v>0</v>
      </c>
      <c r="BG15" s="63">
        <v>0</v>
      </c>
      <c r="BH15" s="63">
        <v>0</v>
      </c>
      <c r="BI15" s="63">
        <v>0</v>
      </c>
      <c r="BJ15" s="63">
        <v>0</v>
      </c>
      <c r="BL15" s="391">
        <v>39375</v>
      </c>
      <c r="BM15" s="397">
        <f t="shared" si="5"/>
        <v>0</v>
      </c>
      <c r="BN15" s="397">
        <f t="shared" si="6"/>
        <v>0</v>
      </c>
      <c r="BO15" s="397">
        <f t="shared" si="7"/>
        <v>0</v>
      </c>
      <c r="BP15" s="397">
        <f t="shared" si="8"/>
        <v>0</v>
      </c>
      <c r="BQ15" s="397">
        <f t="shared" si="9"/>
        <v>0</v>
      </c>
      <c r="BR15" s="397">
        <f t="shared" si="10"/>
        <v>0</v>
      </c>
      <c r="BS15" s="397">
        <f t="shared" si="11"/>
        <v>0</v>
      </c>
      <c r="BT15" s="397">
        <f t="shared" si="12"/>
        <v>0</v>
      </c>
      <c r="BU15" s="397">
        <f t="shared" si="13"/>
        <v>0</v>
      </c>
      <c r="BV15" s="397">
        <f t="shared" si="14"/>
        <v>0</v>
      </c>
      <c r="BW15" s="397">
        <f t="shared" si="15"/>
        <v>0</v>
      </c>
      <c r="BX15" s="397">
        <f t="shared" si="16"/>
        <v>0</v>
      </c>
      <c r="BY15" s="397">
        <f t="shared" si="17"/>
        <v>0</v>
      </c>
      <c r="BZ15" s="397">
        <f t="shared" si="18"/>
        <v>0</v>
      </c>
      <c r="CA15" s="397">
        <f t="shared" si="19"/>
        <v>0</v>
      </c>
      <c r="CB15" s="397">
        <f t="shared" si="20"/>
        <v>0</v>
      </c>
      <c r="CC15" s="391">
        <v>39375</v>
      </c>
      <c r="CD15" s="397">
        <f t="shared" si="44"/>
        <v>0</v>
      </c>
      <c r="CE15" s="397">
        <f t="shared" si="45"/>
        <v>0</v>
      </c>
      <c r="CF15" s="397">
        <f t="shared" si="46"/>
        <v>0</v>
      </c>
      <c r="CG15" s="397">
        <f t="shared" si="47"/>
        <v>0</v>
      </c>
      <c r="CH15" s="397">
        <f t="shared" si="48"/>
        <v>0</v>
      </c>
      <c r="CI15" s="397">
        <f t="shared" si="49"/>
        <v>0</v>
      </c>
      <c r="CJ15" s="397" t="e">
        <f t="shared" si="50"/>
        <v>#REF!</v>
      </c>
      <c r="CK15" s="397">
        <f t="shared" si="51"/>
        <v>0</v>
      </c>
      <c r="CL15" s="397">
        <f t="shared" si="52"/>
        <v>0</v>
      </c>
      <c r="CM15" s="397">
        <f t="shared" si="53"/>
        <v>0</v>
      </c>
      <c r="CN15" s="397">
        <f t="shared" si="54"/>
        <v>0</v>
      </c>
      <c r="CO15" s="397">
        <f t="shared" si="55"/>
        <v>0</v>
      </c>
      <c r="CP15" s="397">
        <f t="shared" si="56"/>
        <v>0</v>
      </c>
      <c r="CQ15" s="397">
        <f t="shared" si="57"/>
        <v>0</v>
      </c>
      <c r="CR15" s="397">
        <f t="shared" si="58"/>
        <v>0</v>
      </c>
      <c r="CS15" s="397">
        <f t="shared" si="59"/>
        <v>0</v>
      </c>
      <c r="CT15" s="398" t="e">
        <f t="shared" si="60"/>
        <v>#REF!</v>
      </c>
      <c r="CV15" s="391">
        <v>39375</v>
      </c>
      <c r="CW15" s="399">
        <f>+CW$3-SUM(AU$4:AU15)</f>
        <v>468579020.91000003</v>
      </c>
      <c r="CX15" s="399">
        <f>+CX$3-SUM(AV$4:AV15)</f>
        <v>142779444.75999999</v>
      </c>
      <c r="CY15" s="399">
        <f>+CY$3-SUM(AW$4:AW15)</f>
        <v>285366843.31999999</v>
      </c>
      <c r="CZ15" s="399">
        <f>+CZ$3-SUM(AX$4:AX15)</f>
        <v>1368548684.7</v>
      </c>
      <c r="DA15" s="399">
        <f>+DA$3-SUM(AY$4:AY15)</f>
        <v>1139656560.24</v>
      </c>
      <c r="DB15" s="399">
        <f>+DB$3-SUM(AZ$4:AZ15)</f>
        <v>547472191.47000003</v>
      </c>
      <c r="DC15" s="399" t="e">
        <f>+DC$3-SUM(BA$4:BA15)</f>
        <v>#REF!</v>
      </c>
      <c r="DD15" s="399">
        <f>+DD$3-SUM(BB$4:BB15)</f>
        <v>44546365.119999997</v>
      </c>
      <c r="DE15" s="399">
        <f>+DE$3-SUM(BC$4:BC15)</f>
        <v>112020391.73999999</v>
      </c>
      <c r="DF15" s="399">
        <f>+DF$3-SUM(BD$4:BD15)</f>
        <v>23000000</v>
      </c>
      <c r="DG15" s="399">
        <f>+DG$3-SUM(BE$4:BE15)</f>
        <v>39274605.939999998</v>
      </c>
      <c r="DH15" s="399">
        <f>+DH$3-SUM(BF$4:BF15)</f>
        <v>61041051.780000001</v>
      </c>
      <c r="DI15" s="399">
        <f>+DI$3-SUM(BG$4:BG15)</f>
        <v>56000000</v>
      </c>
      <c r="DJ15" s="399">
        <f>+DJ$3-SUM(BH$4:BH15)</f>
        <v>36902314.299999997</v>
      </c>
      <c r="DK15" s="399">
        <f>+DK$3-SUM(BI$4:BI15)</f>
        <v>141534746.44</v>
      </c>
      <c r="DL15" s="399">
        <f>+DL$3-SUM(BJ$4:BJ15)</f>
        <v>20000000</v>
      </c>
    </row>
    <row r="16" spans="1:116" s="106" customFormat="1">
      <c r="A16" s="391">
        <v>39406</v>
      </c>
      <c r="B16" s="392">
        <v>327054625.00328881</v>
      </c>
      <c r="C16" s="392">
        <v>99655929.266792834</v>
      </c>
      <c r="D16" s="392">
        <v>199177815.83312136</v>
      </c>
      <c r="E16" s="392">
        <v>1368548684.6960831</v>
      </c>
      <c r="F16" s="392">
        <v>1139656560.236115</v>
      </c>
      <c r="G16" s="392">
        <v>547472191.47029364</v>
      </c>
      <c r="H16" s="393">
        <v>500000000</v>
      </c>
      <c r="I16" s="393">
        <v>44546365.122041218</v>
      </c>
      <c r="J16" s="393">
        <v>112020391.73598069</v>
      </c>
      <c r="K16" s="393">
        <v>23000000</v>
      </c>
      <c r="L16" s="393">
        <v>39274605.936000846</v>
      </c>
      <c r="M16" s="393">
        <v>61041051.784276903</v>
      </c>
      <c r="N16" s="393">
        <v>56000000</v>
      </c>
      <c r="O16" s="393">
        <v>36902314.302282669</v>
      </c>
      <c r="P16" s="393">
        <v>141534746.44486183</v>
      </c>
      <c r="Q16" s="393">
        <v>20000000</v>
      </c>
      <c r="R16" s="394">
        <f t="shared" si="2"/>
        <v>4715885281.8311386</v>
      </c>
      <c r="S16" s="391">
        <v>39406</v>
      </c>
      <c r="T16" s="395">
        <f t="shared" si="23"/>
        <v>141524395.90000001</v>
      </c>
      <c r="U16" s="395">
        <f t="shared" si="24"/>
        <v>43123515.490000002</v>
      </c>
      <c r="V16" s="395">
        <f t="shared" si="25"/>
        <v>86189027.480000004</v>
      </c>
      <c r="W16" s="395">
        <f t="shared" si="26"/>
        <v>0</v>
      </c>
      <c r="X16" s="395">
        <f t="shared" si="27"/>
        <v>0</v>
      </c>
      <c r="Y16" s="395">
        <f t="shared" si="28"/>
        <v>0</v>
      </c>
      <c r="Z16" s="395">
        <f t="shared" si="29"/>
        <v>0</v>
      </c>
      <c r="AA16" s="395">
        <f t="shared" si="30"/>
        <v>0</v>
      </c>
      <c r="AB16" s="395">
        <f t="shared" si="31"/>
        <v>0</v>
      </c>
      <c r="AC16" s="395">
        <f t="shared" si="32"/>
        <v>0</v>
      </c>
      <c r="AD16" s="395">
        <f t="shared" si="33"/>
        <v>0</v>
      </c>
      <c r="AE16" s="395">
        <f t="shared" si="34"/>
        <v>0</v>
      </c>
      <c r="AF16" s="395">
        <f t="shared" si="35"/>
        <v>0</v>
      </c>
      <c r="AG16" s="395">
        <f t="shared" si="36"/>
        <v>0</v>
      </c>
      <c r="AH16" s="395">
        <f t="shared" si="37"/>
        <v>0</v>
      </c>
      <c r="AI16" s="395">
        <f t="shared" si="38"/>
        <v>0</v>
      </c>
      <c r="AJ16" s="395">
        <f t="shared" si="39"/>
        <v>270836938.87</v>
      </c>
      <c r="AK16" s="396"/>
      <c r="AL16" s="391">
        <v>39406</v>
      </c>
      <c r="AM16" s="397">
        <f t="shared" si="40"/>
        <v>4181565806.5056949</v>
      </c>
      <c r="AN16" s="397">
        <f t="shared" si="41"/>
        <v>179566756.85802191</v>
      </c>
      <c r="AO16" s="397">
        <f t="shared" si="42"/>
        <v>156315657.72027776</v>
      </c>
      <c r="AP16" s="397">
        <f t="shared" si="43"/>
        <v>198437060.74714449</v>
      </c>
      <c r="AQ16" s="397">
        <f t="shared" si="4"/>
        <v>4715885281.8311396</v>
      </c>
      <c r="AR16" s="353"/>
      <c r="AT16" s="391">
        <v>39406</v>
      </c>
      <c r="AU16" s="85">
        <v>141524395.90000001</v>
      </c>
      <c r="AV16" s="85">
        <v>43123515.490000002</v>
      </c>
      <c r="AW16" s="85">
        <v>86189027.480000004</v>
      </c>
      <c r="AX16" s="63">
        <v>0</v>
      </c>
      <c r="AY16" s="63">
        <v>0</v>
      </c>
      <c r="AZ16" s="63">
        <v>0</v>
      </c>
      <c r="BA16" s="63">
        <v>0</v>
      </c>
      <c r="BB16" s="63">
        <v>0</v>
      </c>
      <c r="BC16" s="63">
        <v>0</v>
      </c>
      <c r="BD16" s="63">
        <v>0</v>
      </c>
      <c r="BE16" s="63">
        <v>0</v>
      </c>
      <c r="BF16" s="63">
        <v>0</v>
      </c>
      <c r="BG16" s="63">
        <v>0</v>
      </c>
      <c r="BH16" s="63">
        <v>0</v>
      </c>
      <c r="BI16" s="63">
        <v>0</v>
      </c>
      <c r="BJ16" s="63">
        <v>0</v>
      </c>
      <c r="BL16" s="391">
        <v>39406</v>
      </c>
      <c r="BM16" s="397">
        <f t="shared" si="5"/>
        <v>0</v>
      </c>
      <c r="BN16" s="397">
        <f t="shared" si="6"/>
        <v>0</v>
      </c>
      <c r="BO16" s="397">
        <f t="shared" si="7"/>
        <v>0</v>
      </c>
      <c r="BP16" s="397">
        <f t="shared" si="8"/>
        <v>0</v>
      </c>
      <c r="BQ16" s="397">
        <f t="shared" si="9"/>
        <v>0</v>
      </c>
      <c r="BR16" s="397">
        <f t="shared" si="10"/>
        <v>0</v>
      </c>
      <c r="BS16" s="397">
        <f t="shared" si="11"/>
        <v>0</v>
      </c>
      <c r="BT16" s="397">
        <f t="shared" si="12"/>
        <v>0</v>
      </c>
      <c r="BU16" s="397">
        <f t="shared" si="13"/>
        <v>0</v>
      </c>
      <c r="BV16" s="397">
        <f t="shared" si="14"/>
        <v>0</v>
      </c>
      <c r="BW16" s="397">
        <f t="shared" si="15"/>
        <v>0</v>
      </c>
      <c r="BX16" s="397">
        <f t="shared" si="16"/>
        <v>0</v>
      </c>
      <c r="BY16" s="397">
        <f t="shared" si="17"/>
        <v>0</v>
      </c>
      <c r="BZ16" s="397">
        <f t="shared" si="18"/>
        <v>0</v>
      </c>
      <c r="CA16" s="397">
        <f t="shared" si="19"/>
        <v>0</v>
      </c>
      <c r="CB16" s="397">
        <f t="shared" si="20"/>
        <v>0</v>
      </c>
      <c r="CC16" s="391">
        <v>39406</v>
      </c>
      <c r="CD16" s="397">
        <f t="shared" si="44"/>
        <v>0</v>
      </c>
      <c r="CE16" s="397">
        <f t="shared" si="45"/>
        <v>0</v>
      </c>
      <c r="CF16" s="397">
        <f t="shared" si="46"/>
        <v>0</v>
      </c>
      <c r="CG16" s="397">
        <f t="shared" si="47"/>
        <v>0</v>
      </c>
      <c r="CH16" s="397">
        <f t="shared" si="48"/>
        <v>0</v>
      </c>
      <c r="CI16" s="397">
        <f t="shared" si="49"/>
        <v>0</v>
      </c>
      <c r="CJ16" s="397" t="e">
        <f t="shared" si="50"/>
        <v>#REF!</v>
      </c>
      <c r="CK16" s="397">
        <f t="shared" si="51"/>
        <v>0</v>
      </c>
      <c r="CL16" s="397">
        <f t="shared" si="52"/>
        <v>0</v>
      </c>
      <c r="CM16" s="397">
        <f t="shared" si="53"/>
        <v>0</v>
      </c>
      <c r="CN16" s="397">
        <f t="shared" si="54"/>
        <v>0</v>
      </c>
      <c r="CO16" s="397">
        <f t="shared" si="55"/>
        <v>0</v>
      </c>
      <c r="CP16" s="397">
        <f t="shared" si="56"/>
        <v>0</v>
      </c>
      <c r="CQ16" s="397">
        <f t="shared" si="57"/>
        <v>0</v>
      </c>
      <c r="CR16" s="397">
        <f t="shared" si="58"/>
        <v>0</v>
      </c>
      <c r="CS16" s="397">
        <f t="shared" si="59"/>
        <v>0</v>
      </c>
      <c r="CT16" s="398" t="e">
        <f t="shared" si="60"/>
        <v>#REF!</v>
      </c>
      <c r="CV16" s="391">
        <v>39406</v>
      </c>
      <c r="CW16" s="399">
        <f>+CW$3-SUM(AU$4:AU16)</f>
        <v>327054625.00999999</v>
      </c>
      <c r="CX16" s="399">
        <f>+CX$3-SUM(AV$4:AV16)</f>
        <v>99655929.269999981</v>
      </c>
      <c r="CY16" s="399">
        <f>+CY$3-SUM(AW$4:AW16)</f>
        <v>199177815.83999997</v>
      </c>
      <c r="CZ16" s="399">
        <f>+CZ$3-SUM(AX$4:AX16)</f>
        <v>1368548684.7</v>
      </c>
      <c r="DA16" s="399">
        <f>+DA$3-SUM(AY$4:AY16)</f>
        <v>1139656560.24</v>
      </c>
      <c r="DB16" s="399">
        <f>+DB$3-SUM(AZ$4:AZ16)</f>
        <v>547472191.47000003</v>
      </c>
      <c r="DC16" s="399" t="e">
        <f>+DC$3-SUM(BA$4:BA16)</f>
        <v>#REF!</v>
      </c>
      <c r="DD16" s="399">
        <f>+DD$3-SUM(BB$4:BB16)</f>
        <v>44546365.119999997</v>
      </c>
      <c r="DE16" s="399">
        <f>+DE$3-SUM(BC$4:BC16)</f>
        <v>112020391.73999999</v>
      </c>
      <c r="DF16" s="399">
        <f>+DF$3-SUM(BD$4:BD16)</f>
        <v>23000000</v>
      </c>
      <c r="DG16" s="399">
        <f>+DG$3-SUM(BE$4:BE16)</f>
        <v>39274605.939999998</v>
      </c>
      <c r="DH16" s="399">
        <f>+DH$3-SUM(BF$4:BF16)</f>
        <v>61041051.780000001</v>
      </c>
      <c r="DI16" s="399">
        <f>+DI$3-SUM(BG$4:BG16)</f>
        <v>56000000</v>
      </c>
      <c r="DJ16" s="399">
        <f>+DJ$3-SUM(BH$4:BH16)</f>
        <v>36902314.299999997</v>
      </c>
      <c r="DK16" s="399">
        <f>+DK$3-SUM(BI$4:BI16)</f>
        <v>141534746.44</v>
      </c>
      <c r="DL16" s="399">
        <f>+DL$3-SUM(BJ$4:BJ16)</f>
        <v>20000000</v>
      </c>
    </row>
    <row r="17" spans="1:116" s="106" customFormat="1">
      <c r="A17" s="391">
        <v>39436</v>
      </c>
      <c r="B17" s="392">
        <v>327054625.00328881</v>
      </c>
      <c r="C17" s="392">
        <v>99655929.266792834</v>
      </c>
      <c r="D17" s="392">
        <v>199177815.83312136</v>
      </c>
      <c r="E17" s="392">
        <v>1368548684.6960831</v>
      </c>
      <c r="F17" s="392">
        <v>1139656560.236115</v>
      </c>
      <c r="G17" s="392">
        <v>547472191.47029364</v>
      </c>
      <c r="H17" s="393">
        <v>500000000</v>
      </c>
      <c r="I17" s="393">
        <v>44546365.122041218</v>
      </c>
      <c r="J17" s="393">
        <v>112020391.73598069</v>
      </c>
      <c r="K17" s="393">
        <v>23000000</v>
      </c>
      <c r="L17" s="393">
        <v>39274605.936000846</v>
      </c>
      <c r="M17" s="393">
        <v>61041051.784276903</v>
      </c>
      <c r="N17" s="393">
        <v>56000000</v>
      </c>
      <c r="O17" s="393">
        <v>36902314.302282669</v>
      </c>
      <c r="P17" s="393">
        <v>141534746.44486183</v>
      </c>
      <c r="Q17" s="393">
        <v>20000000</v>
      </c>
      <c r="R17" s="394">
        <f t="shared" si="2"/>
        <v>4715885281.8311386</v>
      </c>
      <c r="S17" s="391">
        <v>39436</v>
      </c>
      <c r="T17" s="395">
        <f t="shared" si="23"/>
        <v>0</v>
      </c>
      <c r="U17" s="395">
        <f t="shared" si="24"/>
        <v>0</v>
      </c>
      <c r="V17" s="395">
        <f t="shared" si="25"/>
        <v>0</v>
      </c>
      <c r="W17" s="395">
        <f t="shared" si="26"/>
        <v>0</v>
      </c>
      <c r="X17" s="395">
        <f t="shared" si="27"/>
        <v>0</v>
      </c>
      <c r="Y17" s="395">
        <f t="shared" si="28"/>
        <v>0</v>
      </c>
      <c r="Z17" s="395">
        <f t="shared" si="29"/>
        <v>0</v>
      </c>
      <c r="AA17" s="395">
        <f t="shared" si="30"/>
        <v>0</v>
      </c>
      <c r="AB17" s="395">
        <f t="shared" si="31"/>
        <v>0</v>
      </c>
      <c r="AC17" s="395">
        <f t="shared" si="32"/>
        <v>0</v>
      </c>
      <c r="AD17" s="395">
        <f t="shared" si="33"/>
        <v>0</v>
      </c>
      <c r="AE17" s="395">
        <f t="shared" si="34"/>
        <v>0</v>
      </c>
      <c r="AF17" s="395">
        <f t="shared" si="35"/>
        <v>0</v>
      </c>
      <c r="AG17" s="395">
        <f t="shared" si="36"/>
        <v>0</v>
      </c>
      <c r="AH17" s="395">
        <f t="shared" si="37"/>
        <v>0</v>
      </c>
      <c r="AI17" s="395">
        <f t="shared" si="38"/>
        <v>0</v>
      </c>
      <c r="AJ17" s="395">
        <f t="shared" si="39"/>
        <v>0</v>
      </c>
      <c r="AK17" s="396"/>
      <c r="AL17" s="391">
        <v>39436</v>
      </c>
      <c r="AM17" s="397">
        <f t="shared" si="40"/>
        <v>4181565806.5056949</v>
      </c>
      <c r="AN17" s="397">
        <f t="shared" si="41"/>
        <v>179566756.85802191</v>
      </c>
      <c r="AO17" s="397">
        <f t="shared" si="42"/>
        <v>156315657.72027776</v>
      </c>
      <c r="AP17" s="397">
        <f t="shared" si="43"/>
        <v>198437060.74714449</v>
      </c>
      <c r="AQ17" s="397">
        <f t="shared" si="4"/>
        <v>4715885281.8311396</v>
      </c>
      <c r="AR17" s="353"/>
      <c r="AT17" s="391">
        <v>39436</v>
      </c>
      <c r="AU17" s="85">
        <v>0</v>
      </c>
      <c r="AV17" s="85">
        <v>0</v>
      </c>
      <c r="AW17" s="85">
        <v>0</v>
      </c>
      <c r="AX17" s="63">
        <v>0</v>
      </c>
      <c r="AY17" s="63">
        <v>0</v>
      </c>
      <c r="AZ17" s="63">
        <v>0</v>
      </c>
      <c r="BA17" s="63">
        <v>0</v>
      </c>
      <c r="BB17" s="63">
        <v>0</v>
      </c>
      <c r="BC17" s="63">
        <v>0</v>
      </c>
      <c r="BD17" s="63">
        <v>0</v>
      </c>
      <c r="BE17" s="63">
        <v>0</v>
      </c>
      <c r="BF17" s="63">
        <v>0</v>
      </c>
      <c r="BG17" s="63">
        <v>0</v>
      </c>
      <c r="BH17" s="63">
        <v>0</v>
      </c>
      <c r="BI17" s="63">
        <v>0</v>
      </c>
      <c r="BJ17" s="63">
        <v>0</v>
      </c>
      <c r="BL17" s="391">
        <v>39436</v>
      </c>
      <c r="BM17" s="397">
        <f t="shared" si="5"/>
        <v>0</v>
      </c>
      <c r="BN17" s="397">
        <f t="shared" si="6"/>
        <v>0</v>
      </c>
      <c r="BO17" s="397">
        <f t="shared" si="7"/>
        <v>0</v>
      </c>
      <c r="BP17" s="397">
        <f t="shared" si="8"/>
        <v>0</v>
      </c>
      <c r="BQ17" s="397">
        <f t="shared" si="9"/>
        <v>0</v>
      </c>
      <c r="BR17" s="397">
        <f t="shared" si="10"/>
        <v>0</v>
      </c>
      <c r="BS17" s="397">
        <f t="shared" si="11"/>
        <v>0</v>
      </c>
      <c r="BT17" s="397">
        <f t="shared" si="12"/>
        <v>0</v>
      </c>
      <c r="BU17" s="397">
        <f t="shared" si="13"/>
        <v>0</v>
      </c>
      <c r="BV17" s="397">
        <f t="shared" si="14"/>
        <v>0</v>
      </c>
      <c r="BW17" s="397">
        <f t="shared" si="15"/>
        <v>0</v>
      </c>
      <c r="BX17" s="397">
        <f t="shared" si="16"/>
        <v>0</v>
      </c>
      <c r="BY17" s="397">
        <f t="shared" si="17"/>
        <v>0</v>
      </c>
      <c r="BZ17" s="397">
        <f t="shared" si="18"/>
        <v>0</v>
      </c>
      <c r="CA17" s="397">
        <f t="shared" si="19"/>
        <v>0</v>
      </c>
      <c r="CB17" s="397">
        <f t="shared" si="20"/>
        <v>0</v>
      </c>
      <c r="CC17" s="391">
        <v>39436</v>
      </c>
      <c r="CD17" s="397">
        <f t="shared" si="44"/>
        <v>0</v>
      </c>
      <c r="CE17" s="397">
        <f t="shared" si="45"/>
        <v>0</v>
      </c>
      <c r="CF17" s="397">
        <f t="shared" si="46"/>
        <v>0</v>
      </c>
      <c r="CG17" s="397">
        <f t="shared" si="47"/>
        <v>0</v>
      </c>
      <c r="CH17" s="397">
        <f t="shared" si="48"/>
        <v>0</v>
      </c>
      <c r="CI17" s="397">
        <f t="shared" si="49"/>
        <v>0</v>
      </c>
      <c r="CJ17" s="397" t="e">
        <f t="shared" si="50"/>
        <v>#REF!</v>
      </c>
      <c r="CK17" s="397">
        <f t="shared" si="51"/>
        <v>0</v>
      </c>
      <c r="CL17" s="397">
        <f t="shared" si="52"/>
        <v>0</v>
      </c>
      <c r="CM17" s="397">
        <f t="shared" si="53"/>
        <v>0</v>
      </c>
      <c r="CN17" s="397">
        <f t="shared" si="54"/>
        <v>0</v>
      </c>
      <c r="CO17" s="397">
        <f t="shared" si="55"/>
        <v>0</v>
      </c>
      <c r="CP17" s="397">
        <f t="shared" si="56"/>
        <v>0</v>
      </c>
      <c r="CQ17" s="397">
        <f t="shared" si="57"/>
        <v>0</v>
      </c>
      <c r="CR17" s="397">
        <f t="shared" si="58"/>
        <v>0</v>
      </c>
      <c r="CS17" s="397">
        <f t="shared" si="59"/>
        <v>0</v>
      </c>
      <c r="CT17" s="398" t="e">
        <f t="shared" si="60"/>
        <v>#REF!</v>
      </c>
      <c r="CV17" s="391">
        <v>39436</v>
      </c>
      <c r="CW17" s="399">
        <f>+CW$3-SUM(AU$4:AU17)</f>
        <v>327054625.00999999</v>
      </c>
      <c r="CX17" s="399">
        <f>+CX$3-SUM(AV$4:AV17)</f>
        <v>99655929.269999981</v>
      </c>
      <c r="CY17" s="399">
        <f>+CY$3-SUM(AW$4:AW17)</f>
        <v>199177815.83999997</v>
      </c>
      <c r="CZ17" s="399">
        <f>+CZ$3-SUM(AX$4:AX17)</f>
        <v>1368548684.7</v>
      </c>
      <c r="DA17" s="399">
        <f>+DA$3-SUM(AY$4:AY17)</f>
        <v>1139656560.24</v>
      </c>
      <c r="DB17" s="399">
        <f>+DB$3-SUM(AZ$4:AZ17)</f>
        <v>547472191.47000003</v>
      </c>
      <c r="DC17" s="399" t="e">
        <f>+DC$3-SUM(BA$4:BA17)</f>
        <v>#REF!</v>
      </c>
      <c r="DD17" s="399">
        <f>+DD$3-SUM(BB$4:BB17)</f>
        <v>44546365.119999997</v>
      </c>
      <c r="DE17" s="399">
        <f>+DE$3-SUM(BC$4:BC17)</f>
        <v>112020391.73999999</v>
      </c>
      <c r="DF17" s="399">
        <f>+DF$3-SUM(BD$4:BD17)</f>
        <v>23000000</v>
      </c>
      <c r="DG17" s="399">
        <f>+DG$3-SUM(BE$4:BE17)</f>
        <v>39274605.939999998</v>
      </c>
      <c r="DH17" s="399">
        <f>+DH$3-SUM(BF$4:BF17)</f>
        <v>61041051.780000001</v>
      </c>
      <c r="DI17" s="399">
        <f>+DI$3-SUM(BG$4:BG17)</f>
        <v>56000000</v>
      </c>
      <c r="DJ17" s="399">
        <f>+DJ$3-SUM(BH$4:BH17)</f>
        <v>36902314.299999997</v>
      </c>
      <c r="DK17" s="399">
        <f>+DK$3-SUM(BI$4:BI17)</f>
        <v>141534746.44</v>
      </c>
      <c r="DL17" s="399">
        <f>+DL$3-SUM(BJ$4:BJ17)</f>
        <v>20000000</v>
      </c>
    </row>
    <row r="18" spans="1:116" s="106" customFormat="1">
      <c r="A18" s="391">
        <v>39467</v>
      </c>
      <c r="B18" s="392">
        <v>327054625.00328881</v>
      </c>
      <c r="C18" s="392">
        <v>99655929.266792834</v>
      </c>
      <c r="D18" s="392">
        <v>199177815.83312136</v>
      </c>
      <c r="E18" s="392">
        <v>1368548684.6960831</v>
      </c>
      <c r="F18" s="392">
        <v>1139656560.236115</v>
      </c>
      <c r="G18" s="392">
        <v>547472191.47029364</v>
      </c>
      <c r="H18" s="393">
        <v>500000000</v>
      </c>
      <c r="I18" s="393">
        <v>44546365.122041218</v>
      </c>
      <c r="J18" s="393">
        <v>112020391.73598069</v>
      </c>
      <c r="K18" s="393">
        <v>23000000</v>
      </c>
      <c r="L18" s="393">
        <v>39274605.936000846</v>
      </c>
      <c r="M18" s="393">
        <v>61041051.784276903</v>
      </c>
      <c r="N18" s="393">
        <v>56000000</v>
      </c>
      <c r="O18" s="393">
        <v>36902314.302282669</v>
      </c>
      <c r="P18" s="393">
        <v>141534746.44486183</v>
      </c>
      <c r="Q18" s="393">
        <v>20000000</v>
      </c>
      <c r="R18" s="394">
        <f t="shared" si="2"/>
        <v>4715885281.8311386</v>
      </c>
      <c r="S18" s="391">
        <v>39467</v>
      </c>
      <c r="T18" s="395">
        <f t="shared" si="23"/>
        <v>0</v>
      </c>
      <c r="U18" s="395">
        <f t="shared" si="24"/>
        <v>0</v>
      </c>
      <c r="V18" s="395">
        <f t="shared" si="25"/>
        <v>0</v>
      </c>
      <c r="W18" s="395">
        <f t="shared" si="26"/>
        <v>0</v>
      </c>
      <c r="X18" s="395">
        <f t="shared" si="27"/>
        <v>0</v>
      </c>
      <c r="Y18" s="395">
        <f t="shared" si="28"/>
        <v>0</v>
      </c>
      <c r="Z18" s="395">
        <f t="shared" si="29"/>
        <v>0</v>
      </c>
      <c r="AA18" s="395">
        <f t="shared" si="30"/>
        <v>0</v>
      </c>
      <c r="AB18" s="395">
        <f t="shared" si="31"/>
        <v>0</v>
      </c>
      <c r="AC18" s="395">
        <f t="shared" si="32"/>
        <v>0</v>
      </c>
      <c r="AD18" s="395">
        <f t="shared" si="33"/>
        <v>0</v>
      </c>
      <c r="AE18" s="395">
        <f t="shared" si="34"/>
        <v>0</v>
      </c>
      <c r="AF18" s="395">
        <f t="shared" si="35"/>
        <v>0</v>
      </c>
      <c r="AG18" s="395">
        <f t="shared" si="36"/>
        <v>0</v>
      </c>
      <c r="AH18" s="395">
        <f t="shared" si="37"/>
        <v>0</v>
      </c>
      <c r="AI18" s="395">
        <f t="shared" si="38"/>
        <v>0</v>
      </c>
      <c r="AJ18" s="395">
        <f t="shared" si="39"/>
        <v>0</v>
      </c>
      <c r="AK18" s="396"/>
      <c r="AL18" s="391">
        <v>39467</v>
      </c>
      <c r="AM18" s="397">
        <f t="shared" si="40"/>
        <v>4181565806.5056949</v>
      </c>
      <c r="AN18" s="397">
        <f t="shared" si="41"/>
        <v>179566756.85802191</v>
      </c>
      <c r="AO18" s="397">
        <f t="shared" si="42"/>
        <v>156315657.72027776</v>
      </c>
      <c r="AP18" s="397">
        <f t="shared" si="43"/>
        <v>198437060.74714449</v>
      </c>
      <c r="AQ18" s="397">
        <f t="shared" si="4"/>
        <v>4715885281.8311396</v>
      </c>
      <c r="AR18" s="353"/>
      <c r="AT18" s="391">
        <v>39467</v>
      </c>
      <c r="AU18" s="85">
        <v>0</v>
      </c>
      <c r="AV18" s="85">
        <v>0</v>
      </c>
      <c r="AW18" s="85">
        <v>0</v>
      </c>
      <c r="AX18" s="63">
        <v>0</v>
      </c>
      <c r="AY18" s="63">
        <v>0</v>
      </c>
      <c r="AZ18" s="63">
        <v>0</v>
      </c>
      <c r="BA18" s="63">
        <v>0</v>
      </c>
      <c r="BB18" s="63">
        <v>0</v>
      </c>
      <c r="BC18" s="63">
        <v>0</v>
      </c>
      <c r="BD18" s="63">
        <v>0</v>
      </c>
      <c r="BE18" s="63">
        <v>0</v>
      </c>
      <c r="BF18" s="63">
        <v>0</v>
      </c>
      <c r="BG18" s="63">
        <v>0</v>
      </c>
      <c r="BH18" s="63">
        <v>0</v>
      </c>
      <c r="BI18" s="63">
        <v>0</v>
      </c>
      <c r="BJ18" s="63">
        <v>0</v>
      </c>
      <c r="BL18" s="391">
        <v>39467</v>
      </c>
      <c r="BM18" s="397">
        <f t="shared" si="5"/>
        <v>0</v>
      </c>
      <c r="BN18" s="397">
        <f t="shared" si="6"/>
        <v>0</v>
      </c>
      <c r="BO18" s="397">
        <f t="shared" si="7"/>
        <v>0</v>
      </c>
      <c r="BP18" s="397">
        <f t="shared" si="8"/>
        <v>0</v>
      </c>
      <c r="BQ18" s="397">
        <f t="shared" si="9"/>
        <v>0</v>
      </c>
      <c r="BR18" s="397">
        <f t="shared" si="10"/>
        <v>0</v>
      </c>
      <c r="BS18" s="397">
        <f t="shared" si="11"/>
        <v>0</v>
      </c>
      <c r="BT18" s="397">
        <f t="shared" si="12"/>
        <v>0</v>
      </c>
      <c r="BU18" s="397">
        <f t="shared" si="13"/>
        <v>0</v>
      </c>
      <c r="BV18" s="397">
        <f t="shared" si="14"/>
        <v>0</v>
      </c>
      <c r="BW18" s="397">
        <f t="shared" si="15"/>
        <v>0</v>
      </c>
      <c r="BX18" s="397">
        <f t="shared" si="16"/>
        <v>0</v>
      </c>
      <c r="BY18" s="397">
        <f t="shared" si="17"/>
        <v>0</v>
      </c>
      <c r="BZ18" s="397">
        <f t="shared" si="18"/>
        <v>0</v>
      </c>
      <c r="CA18" s="397">
        <f t="shared" si="19"/>
        <v>0</v>
      </c>
      <c r="CB18" s="397">
        <f t="shared" si="20"/>
        <v>0</v>
      </c>
      <c r="CC18" s="391">
        <v>39467</v>
      </c>
      <c r="CD18" s="397">
        <f t="shared" si="44"/>
        <v>0</v>
      </c>
      <c r="CE18" s="397">
        <f t="shared" si="45"/>
        <v>0</v>
      </c>
      <c r="CF18" s="397">
        <f t="shared" si="46"/>
        <v>0</v>
      </c>
      <c r="CG18" s="397">
        <f t="shared" si="47"/>
        <v>0</v>
      </c>
      <c r="CH18" s="397">
        <f t="shared" si="48"/>
        <v>0</v>
      </c>
      <c r="CI18" s="397">
        <f t="shared" si="49"/>
        <v>0</v>
      </c>
      <c r="CJ18" s="397" t="e">
        <f t="shared" si="50"/>
        <v>#REF!</v>
      </c>
      <c r="CK18" s="397">
        <f t="shared" si="51"/>
        <v>0</v>
      </c>
      <c r="CL18" s="397">
        <f t="shared" si="52"/>
        <v>0</v>
      </c>
      <c r="CM18" s="397">
        <f t="shared" si="53"/>
        <v>0</v>
      </c>
      <c r="CN18" s="397">
        <f t="shared" si="54"/>
        <v>0</v>
      </c>
      <c r="CO18" s="397">
        <f t="shared" si="55"/>
        <v>0</v>
      </c>
      <c r="CP18" s="397">
        <f t="shared" si="56"/>
        <v>0</v>
      </c>
      <c r="CQ18" s="397">
        <f t="shared" si="57"/>
        <v>0</v>
      </c>
      <c r="CR18" s="397">
        <f t="shared" si="58"/>
        <v>0</v>
      </c>
      <c r="CS18" s="397">
        <f t="shared" si="59"/>
        <v>0</v>
      </c>
      <c r="CT18" s="398" t="e">
        <f t="shared" si="60"/>
        <v>#REF!</v>
      </c>
      <c r="CV18" s="391">
        <v>39467</v>
      </c>
      <c r="CW18" s="399">
        <f>+CW$3-SUM(AU$4:AU18)</f>
        <v>327054625.00999999</v>
      </c>
      <c r="CX18" s="399">
        <f>+CX$3-SUM(AV$4:AV18)</f>
        <v>99655929.269999981</v>
      </c>
      <c r="CY18" s="399">
        <f>+CY$3-SUM(AW$4:AW18)</f>
        <v>199177815.83999997</v>
      </c>
      <c r="CZ18" s="399">
        <f>+CZ$3-SUM(AX$4:AX18)</f>
        <v>1368548684.7</v>
      </c>
      <c r="DA18" s="399">
        <f>+DA$3-SUM(AY$4:AY18)</f>
        <v>1139656560.24</v>
      </c>
      <c r="DB18" s="399">
        <f>+DB$3-SUM(AZ$4:AZ18)</f>
        <v>547472191.47000003</v>
      </c>
      <c r="DC18" s="399" t="e">
        <f>+DC$3-SUM(BA$4:BA18)</f>
        <v>#REF!</v>
      </c>
      <c r="DD18" s="399">
        <f>+DD$3-SUM(BB$4:BB18)</f>
        <v>44546365.119999997</v>
      </c>
      <c r="DE18" s="399">
        <f>+DE$3-SUM(BC$4:BC18)</f>
        <v>112020391.73999999</v>
      </c>
      <c r="DF18" s="399">
        <f>+DF$3-SUM(BD$4:BD18)</f>
        <v>23000000</v>
      </c>
      <c r="DG18" s="399">
        <f>+DG$3-SUM(BE$4:BE18)</f>
        <v>39274605.939999998</v>
      </c>
      <c r="DH18" s="399">
        <f>+DH$3-SUM(BF$4:BF18)</f>
        <v>61041051.780000001</v>
      </c>
      <c r="DI18" s="399">
        <f>+DI$3-SUM(BG$4:BG18)</f>
        <v>56000000</v>
      </c>
      <c r="DJ18" s="399">
        <f>+DJ$3-SUM(BH$4:BH18)</f>
        <v>36902314.299999997</v>
      </c>
      <c r="DK18" s="399">
        <f>+DK$3-SUM(BI$4:BI18)</f>
        <v>141534746.44</v>
      </c>
      <c r="DL18" s="399">
        <f>+DL$3-SUM(BJ$4:BJ18)</f>
        <v>20000000</v>
      </c>
    </row>
    <row r="19" spans="1:116" s="106" customFormat="1">
      <c r="A19" s="391">
        <v>39498</v>
      </c>
      <c r="B19" s="392">
        <v>193209115.10936111</v>
      </c>
      <c r="C19" s="392">
        <v>58872226.340919375</v>
      </c>
      <c r="D19" s="392">
        <v>117665266.30267251</v>
      </c>
      <c r="E19" s="392">
        <v>1368548684.6960831</v>
      </c>
      <c r="F19" s="392">
        <v>1139656560.236115</v>
      </c>
      <c r="G19" s="392">
        <v>547472191.47029364</v>
      </c>
      <c r="H19" s="393">
        <v>500000000</v>
      </c>
      <c r="I19" s="393">
        <v>44546365.122041218</v>
      </c>
      <c r="J19" s="393">
        <v>112020391.73598069</v>
      </c>
      <c r="K19" s="393">
        <v>23000000</v>
      </c>
      <c r="L19" s="393">
        <v>39274605.936000846</v>
      </c>
      <c r="M19" s="393">
        <v>61041051.784276903</v>
      </c>
      <c r="N19" s="393">
        <v>56000000</v>
      </c>
      <c r="O19" s="393">
        <v>36902314.302282669</v>
      </c>
      <c r="P19" s="393">
        <v>141534746.44486183</v>
      </c>
      <c r="Q19" s="393">
        <v>20000000</v>
      </c>
      <c r="R19" s="394">
        <f t="shared" si="2"/>
        <v>4459743519.4808884</v>
      </c>
      <c r="S19" s="391">
        <v>39498</v>
      </c>
      <c r="T19" s="395">
        <f t="shared" si="23"/>
        <v>133845509.89</v>
      </c>
      <c r="U19" s="395">
        <f t="shared" si="24"/>
        <v>40783702.93</v>
      </c>
      <c r="V19" s="395">
        <f t="shared" si="25"/>
        <v>81512549.530000001</v>
      </c>
      <c r="W19" s="395">
        <f t="shared" si="26"/>
        <v>0</v>
      </c>
      <c r="X19" s="395">
        <f t="shared" si="27"/>
        <v>0</v>
      </c>
      <c r="Y19" s="395">
        <f t="shared" si="28"/>
        <v>0</v>
      </c>
      <c r="Z19" s="395">
        <f t="shared" si="29"/>
        <v>0</v>
      </c>
      <c r="AA19" s="395">
        <f t="shared" si="30"/>
        <v>0</v>
      </c>
      <c r="AB19" s="395">
        <f t="shared" si="31"/>
        <v>0</v>
      </c>
      <c r="AC19" s="395">
        <f t="shared" si="32"/>
        <v>0</v>
      </c>
      <c r="AD19" s="395">
        <f t="shared" si="33"/>
        <v>0</v>
      </c>
      <c r="AE19" s="395">
        <f t="shared" si="34"/>
        <v>0</v>
      </c>
      <c r="AF19" s="395">
        <f t="shared" si="35"/>
        <v>0</v>
      </c>
      <c r="AG19" s="395">
        <f t="shared" si="36"/>
        <v>0</v>
      </c>
      <c r="AH19" s="395">
        <f t="shared" si="37"/>
        <v>0</v>
      </c>
      <c r="AI19" s="395">
        <f t="shared" si="38"/>
        <v>0</v>
      </c>
      <c r="AJ19" s="395">
        <f t="shared" si="39"/>
        <v>256141762.34999999</v>
      </c>
      <c r="AK19" s="396">
        <f>'GMF 3 GBP Amortisation'!T94</f>
        <v>302250447.62</v>
      </c>
      <c r="AL19" s="391">
        <v>39498</v>
      </c>
      <c r="AM19" s="397">
        <f t="shared" si="40"/>
        <v>3925424044.1554446</v>
      </c>
      <c r="AN19" s="397">
        <f t="shared" si="41"/>
        <v>179566756.85802191</v>
      </c>
      <c r="AO19" s="397">
        <f t="shared" si="42"/>
        <v>156315657.72027776</v>
      </c>
      <c r="AP19" s="397">
        <f t="shared" si="43"/>
        <v>198437060.74714449</v>
      </c>
      <c r="AQ19" s="397">
        <f t="shared" si="4"/>
        <v>4459743519.4808884</v>
      </c>
      <c r="AR19" s="353"/>
      <c r="AT19" s="391">
        <v>39498</v>
      </c>
      <c r="AU19" s="85">
        <v>133845509.89</v>
      </c>
      <c r="AV19" s="85">
        <v>40783702.93</v>
      </c>
      <c r="AW19" s="85">
        <v>81512549.530000001</v>
      </c>
      <c r="AX19" s="63">
        <v>0</v>
      </c>
      <c r="AY19" s="63">
        <v>0</v>
      </c>
      <c r="AZ19" s="63">
        <v>0</v>
      </c>
      <c r="BA19" s="63">
        <v>0</v>
      </c>
      <c r="BB19" s="63">
        <v>0</v>
      </c>
      <c r="BC19" s="63">
        <v>0</v>
      </c>
      <c r="BD19" s="63">
        <v>0</v>
      </c>
      <c r="BE19" s="63">
        <v>0</v>
      </c>
      <c r="BF19" s="63">
        <v>0</v>
      </c>
      <c r="BG19" s="63">
        <v>0</v>
      </c>
      <c r="BH19" s="63">
        <v>0</v>
      </c>
      <c r="BI19" s="63">
        <v>0</v>
      </c>
      <c r="BJ19" s="63">
        <v>0</v>
      </c>
      <c r="BL19" s="391">
        <v>39498</v>
      </c>
      <c r="BM19" s="397">
        <f t="shared" si="5"/>
        <v>0</v>
      </c>
      <c r="BN19" s="397">
        <f t="shared" si="6"/>
        <v>0</v>
      </c>
      <c r="BO19" s="397">
        <f t="shared" si="7"/>
        <v>0</v>
      </c>
      <c r="BP19" s="397">
        <f t="shared" si="8"/>
        <v>0</v>
      </c>
      <c r="BQ19" s="397">
        <f t="shared" si="9"/>
        <v>0</v>
      </c>
      <c r="BR19" s="397">
        <f t="shared" si="10"/>
        <v>0</v>
      </c>
      <c r="BS19" s="397">
        <f t="shared" si="11"/>
        <v>0</v>
      </c>
      <c r="BT19" s="397">
        <f t="shared" si="12"/>
        <v>0</v>
      </c>
      <c r="BU19" s="397">
        <f t="shared" si="13"/>
        <v>0</v>
      </c>
      <c r="BV19" s="397">
        <f t="shared" si="14"/>
        <v>0</v>
      </c>
      <c r="BW19" s="397">
        <f t="shared" si="15"/>
        <v>0</v>
      </c>
      <c r="BX19" s="397">
        <f t="shared" si="16"/>
        <v>0</v>
      </c>
      <c r="BY19" s="397">
        <f t="shared" si="17"/>
        <v>0</v>
      </c>
      <c r="BZ19" s="397">
        <f t="shared" si="18"/>
        <v>0</v>
      </c>
      <c r="CA19" s="397">
        <f t="shared" si="19"/>
        <v>0</v>
      </c>
      <c r="CB19" s="397">
        <f t="shared" si="20"/>
        <v>0</v>
      </c>
      <c r="CC19" s="391">
        <v>39498</v>
      </c>
      <c r="CD19" s="397">
        <f t="shared" si="44"/>
        <v>0</v>
      </c>
      <c r="CE19" s="397">
        <f t="shared" si="45"/>
        <v>0</v>
      </c>
      <c r="CF19" s="397">
        <f t="shared" si="46"/>
        <v>0</v>
      </c>
      <c r="CG19" s="397">
        <f t="shared" si="47"/>
        <v>0</v>
      </c>
      <c r="CH19" s="397">
        <f t="shared" si="48"/>
        <v>0</v>
      </c>
      <c r="CI19" s="397">
        <f t="shared" si="49"/>
        <v>0</v>
      </c>
      <c r="CJ19" s="397" t="e">
        <f t="shared" si="50"/>
        <v>#REF!</v>
      </c>
      <c r="CK19" s="397">
        <f t="shared" si="51"/>
        <v>0</v>
      </c>
      <c r="CL19" s="397">
        <f t="shared" si="52"/>
        <v>0</v>
      </c>
      <c r="CM19" s="397">
        <f t="shared" si="53"/>
        <v>0</v>
      </c>
      <c r="CN19" s="397">
        <f t="shared" si="54"/>
        <v>0</v>
      </c>
      <c r="CO19" s="397">
        <f t="shared" si="55"/>
        <v>0</v>
      </c>
      <c r="CP19" s="397">
        <f t="shared" si="56"/>
        <v>0</v>
      </c>
      <c r="CQ19" s="397">
        <f t="shared" si="57"/>
        <v>0</v>
      </c>
      <c r="CR19" s="397">
        <f t="shared" si="58"/>
        <v>0</v>
      </c>
      <c r="CS19" s="397">
        <f t="shared" si="59"/>
        <v>0</v>
      </c>
      <c r="CT19" s="398" t="e">
        <f t="shared" si="60"/>
        <v>#REF!</v>
      </c>
      <c r="CV19" s="391">
        <v>39498</v>
      </c>
      <c r="CW19" s="399">
        <f>+CW$3-SUM(AU$4:AU19)</f>
        <v>193209115.12</v>
      </c>
      <c r="CX19" s="399">
        <f>+CX$3-SUM(AV$4:AV19)</f>
        <v>58872226.339999974</v>
      </c>
      <c r="CY19" s="399">
        <f>+CY$3-SUM(AW$4:AW19)</f>
        <v>117665266.30999994</v>
      </c>
      <c r="CZ19" s="399">
        <f>+CZ$3-SUM(AX$4:AX19)</f>
        <v>1368548684.7</v>
      </c>
      <c r="DA19" s="399">
        <f>+DA$3-SUM(AY$4:AY19)</f>
        <v>1139656560.24</v>
      </c>
      <c r="DB19" s="399">
        <f>+DB$3-SUM(AZ$4:AZ19)</f>
        <v>547472191.47000003</v>
      </c>
      <c r="DC19" s="399" t="e">
        <f>+DC$3-SUM(BA$4:BA19)</f>
        <v>#REF!</v>
      </c>
      <c r="DD19" s="399">
        <f>+DD$3-SUM(BB$4:BB19)</f>
        <v>44546365.119999997</v>
      </c>
      <c r="DE19" s="399">
        <f>+DE$3-SUM(BC$4:BC19)</f>
        <v>112020391.73999999</v>
      </c>
      <c r="DF19" s="399">
        <f>+DF$3-SUM(BD$4:BD19)</f>
        <v>23000000</v>
      </c>
      <c r="DG19" s="399">
        <f>+DG$3-SUM(BE$4:BE19)</f>
        <v>39274605.939999998</v>
      </c>
      <c r="DH19" s="399">
        <f>+DH$3-SUM(BF$4:BF19)</f>
        <v>61041051.780000001</v>
      </c>
      <c r="DI19" s="399">
        <f>+DI$3-SUM(BG$4:BG19)</f>
        <v>56000000</v>
      </c>
      <c r="DJ19" s="399">
        <f>+DJ$3-SUM(BH$4:BH19)</f>
        <v>36902314.299999997</v>
      </c>
      <c r="DK19" s="399">
        <f>+DK$3-SUM(BI$4:BI19)</f>
        <v>141534746.44</v>
      </c>
      <c r="DL19" s="399">
        <f>+DL$3-SUM(BJ$4:BJ19)</f>
        <v>20000000</v>
      </c>
    </row>
    <row r="20" spans="1:116" s="106" customFormat="1">
      <c r="A20" s="391">
        <v>39527</v>
      </c>
      <c r="B20" s="392">
        <v>193209115.10936111</v>
      </c>
      <c r="C20" s="392">
        <v>58872226.340919375</v>
      </c>
      <c r="D20" s="392">
        <v>117665266.30267251</v>
      </c>
      <c r="E20" s="392">
        <v>1368548684.6960831</v>
      </c>
      <c r="F20" s="392">
        <v>1139656560.236115</v>
      </c>
      <c r="G20" s="392">
        <v>547472191.47029364</v>
      </c>
      <c r="H20" s="393">
        <v>500000000</v>
      </c>
      <c r="I20" s="393">
        <v>44546365.122041218</v>
      </c>
      <c r="J20" s="393">
        <v>112020391.73598069</v>
      </c>
      <c r="K20" s="393">
        <v>23000000</v>
      </c>
      <c r="L20" s="393">
        <v>39274605.936000846</v>
      </c>
      <c r="M20" s="393">
        <v>61041051.784276903</v>
      </c>
      <c r="N20" s="393">
        <v>56000000</v>
      </c>
      <c r="O20" s="393">
        <v>36902314.302282669</v>
      </c>
      <c r="P20" s="393">
        <v>141534746.44486183</v>
      </c>
      <c r="Q20" s="393">
        <v>20000000</v>
      </c>
      <c r="R20" s="394">
        <f t="shared" si="2"/>
        <v>4459743519.4808884</v>
      </c>
      <c r="S20" s="391">
        <v>39527</v>
      </c>
      <c r="T20" s="395">
        <f t="shared" si="23"/>
        <v>0</v>
      </c>
      <c r="U20" s="395">
        <f t="shared" si="24"/>
        <v>0</v>
      </c>
      <c r="V20" s="395">
        <f t="shared" si="25"/>
        <v>0</v>
      </c>
      <c r="W20" s="395">
        <f t="shared" si="26"/>
        <v>0</v>
      </c>
      <c r="X20" s="395">
        <f t="shared" si="27"/>
        <v>0</v>
      </c>
      <c r="Y20" s="395">
        <f t="shared" si="28"/>
        <v>0</v>
      </c>
      <c r="Z20" s="395">
        <f t="shared" si="29"/>
        <v>0</v>
      </c>
      <c r="AA20" s="395">
        <f t="shared" si="30"/>
        <v>0</v>
      </c>
      <c r="AB20" s="395">
        <f t="shared" si="31"/>
        <v>0</v>
      </c>
      <c r="AC20" s="395">
        <f t="shared" si="32"/>
        <v>0</v>
      </c>
      <c r="AD20" s="395">
        <f t="shared" si="33"/>
        <v>0</v>
      </c>
      <c r="AE20" s="395">
        <f t="shared" si="34"/>
        <v>0</v>
      </c>
      <c r="AF20" s="395">
        <f t="shared" si="35"/>
        <v>0</v>
      </c>
      <c r="AG20" s="395">
        <f t="shared" si="36"/>
        <v>0</v>
      </c>
      <c r="AH20" s="395">
        <f t="shared" si="37"/>
        <v>0</v>
      </c>
      <c r="AI20" s="395">
        <f t="shared" si="38"/>
        <v>0</v>
      </c>
      <c r="AJ20" s="395">
        <f t="shared" si="39"/>
        <v>0</v>
      </c>
      <c r="AK20" s="396">
        <f>AJ19+AK19</f>
        <v>558392209.97000003</v>
      </c>
      <c r="AL20" s="391">
        <v>39527</v>
      </c>
      <c r="AM20" s="397">
        <f t="shared" si="40"/>
        <v>3925424044.1554446</v>
      </c>
      <c r="AN20" s="397">
        <f t="shared" si="41"/>
        <v>179566756.85802191</v>
      </c>
      <c r="AO20" s="397">
        <f t="shared" si="42"/>
        <v>156315657.72027776</v>
      </c>
      <c r="AP20" s="397">
        <f t="shared" si="43"/>
        <v>198437060.74714449</v>
      </c>
      <c r="AQ20" s="397">
        <f t="shared" si="4"/>
        <v>4459743519.4808884</v>
      </c>
      <c r="AR20" s="353"/>
      <c r="AT20" s="391">
        <v>39527</v>
      </c>
      <c r="AU20" s="85">
        <v>0</v>
      </c>
      <c r="AV20" s="85">
        <v>0</v>
      </c>
      <c r="AW20" s="85">
        <v>0</v>
      </c>
      <c r="AX20" s="63">
        <v>0</v>
      </c>
      <c r="AY20" s="63">
        <v>0</v>
      </c>
      <c r="AZ20" s="63">
        <v>0</v>
      </c>
      <c r="BA20" s="63">
        <v>0</v>
      </c>
      <c r="BB20" s="63">
        <v>0</v>
      </c>
      <c r="BC20" s="63">
        <v>0</v>
      </c>
      <c r="BD20" s="63">
        <v>0</v>
      </c>
      <c r="BE20" s="63">
        <v>0</v>
      </c>
      <c r="BF20" s="63">
        <v>0</v>
      </c>
      <c r="BG20" s="63">
        <v>0</v>
      </c>
      <c r="BH20" s="63">
        <v>0</v>
      </c>
      <c r="BI20" s="63">
        <v>0</v>
      </c>
      <c r="BJ20" s="63">
        <v>0</v>
      </c>
      <c r="BL20" s="391">
        <v>39527</v>
      </c>
      <c r="BM20" s="397">
        <f t="shared" si="5"/>
        <v>0</v>
      </c>
      <c r="BN20" s="397">
        <f t="shared" si="6"/>
        <v>0</v>
      </c>
      <c r="BO20" s="397">
        <f t="shared" si="7"/>
        <v>0</v>
      </c>
      <c r="BP20" s="397">
        <f t="shared" si="8"/>
        <v>0</v>
      </c>
      <c r="BQ20" s="397">
        <f t="shared" si="9"/>
        <v>0</v>
      </c>
      <c r="BR20" s="397">
        <f t="shared" si="10"/>
        <v>0</v>
      </c>
      <c r="BS20" s="397">
        <f t="shared" si="11"/>
        <v>0</v>
      </c>
      <c r="BT20" s="397">
        <f t="shared" si="12"/>
        <v>0</v>
      </c>
      <c r="BU20" s="397">
        <f t="shared" si="13"/>
        <v>0</v>
      </c>
      <c r="BV20" s="397">
        <f t="shared" si="14"/>
        <v>0</v>
      </c>
      <c r="BW20" s="397">
        <f t="shared" si="15"/>
        <v>0</v>
      </c>
      <c r="BX20" s="397">
        <f t="shared" si="16"/>
        <v>0</v>
      </c>
      <c r="BY20" s="397">
        <f t="shared" si="17"/>
        <v>0</v>
      </c>
      <c r="BZ20" s="397">
        <f t="shared" si="18"/>
        <v>0</v>
      </c>
      <c r="CA20" s="397">
        <f t="shared" si="19"/>
        <v>0</v>
      </c>
      <c r="CB20" s="397">
        <f t="shared" si="20"/>
        <v>0</v>
      </c>
      <c r="CC20" s="391">
        <v>39527</v>
      </c>
      <c r="CD20" s="397">
        <f t="shared" si="44"/>
        <v>0</v>
      </c>
      <c r="CE20" s="397">
        <f t="shared" si="45"/>
        <v>0</v>
      </c>
      <c r="CF20" s="397">
        <f t="shared" si="46"/>
        <v>0</v>
      </c>
      <c r="CG20" s="397">
        <f t="shared" si="47"/>
        <v>0</v>
      </c>
      <c r="CH20" s="397">
        <f t="shared" si="48"/>
        <v>0</v>
      </c>
      <c r="CI20" s="397">
        <f t="shared" si="49"/>
        <v>0</v>
      </c>
      <c r="CJ20" s="397" t="e">
        <f t="shared" si="50"/>
        <v>#REF!</v>
      </c>
      <c r="CK20" s="397">
        <f t="shared" si="51"/>
        <v>0</v>
      </c>
      <c r="CL20" s="397">
        <f t="shared" si="52"/>
        <v>0</v>
      </c>
      <c r="CM20" s="397">
        <f t="shared" si="53"/>
        <v>0</v>
      </c>
      <c r="CN20" s="397">
        <f t="shared" si="54"/>
        <v>0</v>
      </c>
      <c r="CO20" s="397">
        <f t="shared" si="55"/>
        <v>0</v>
      </c>
      <c r="CP20" s="397">
        <f t="shared" si="56"/>
        <v>0</v>
      </c>
      <c r="CQ20" s="397">
        <f t="shared" si="57"/>
        <v>0</v>
      </c>
      <c r="CR20" s="397">
        <f t="shared" si="58"/>
        <v>0</v>
      </c>
      <c r="CS20" s="397">
        <f t="shared" si="59"/>
        <v>0</v>
      </c>
      <c r="CT20" s="398" t="e">
        <f t="shared" si="60"/>
        <v>#REF!</v>
      </c>
      <c r="CV20" s="391">
        <v>39527</v>
      </c>
      <c r="CW20" s="399">
        <f>+CW$3-SUM(AU$4:AU20)</f>
        <v>193209115.12</v>
      </c>
      <c r="CX20" s="399">
        <f>+CX$3-SUM(AV$4:AV20)</f>
        <v>58872226.339999974</v>
      </c>
      <c r="CY20" s="399">
        <f>+CY$3-SUM(AW$4:AW20)</f>
        <v>117665266.30999994</v>
      </c>
      <c r="CZ20" s="399">
        <f>+CZ$3-SUM(AX$4:AX20)</f>
        <v>1368548684.7</v>
      </c>
      <c r="DA20" s="399">
        <f>+DA$3-SUM(AY$4:AY20)</f>
        <v>1139656560.24</v>
      </c>
      <c r="DB20" s="399">
        <f>+DB$3-SUM(AZ$4:AZ20)</f>
        <v>547472191.47000003</v>
      </c>
      <c r="DC20" s="399" t="e">
        <f>+DC$3-SUM(BA$4:BA20)</f>
        <v>#REF!</v>
      </c>
      <c r="DD20" s="399">
        <f>+DD$3-SUM(BB$4:BB20)</f>
        <v>44546365.119999997</v>
      </c>
      <c r="DE20" s="399">
        <f>+DE$3-SUM(BC$4:BC20)</f>
        <v>112020391.73999999</v>
      </c>
      <c r="DF20" s="399">
        <f>+DF$3-SUM(BD$4:BD20)</f>
        <v>23000000</v>
      </c>
      <c r="DG20" s="399">
        <f>+DG$3-SUM(BE$4:BE20)</f>
        <v>39274605.939999998</v>
      </c>
      <c r="DH20" s="399">
        <f>+DH$3-SUM(BF$4:BF20)</f>
        <v>61041051.780000001</v>
      </c>
      <c r="DI20" s="399">
        <f>+DI$3-SUM(BG$4:BG20)</f>
        <v>56000000</v>
      </c>
      <c r="DJ20" s="399">
        <f>+DJ$3-SUM(BH$4:BH20)</f>
        <v>36902314.299999997</v>
      </c>
      <c r="DK20" s="399">
        <f>+DK$3-SUM(BI$4:BI20)</f>
        <v>141534746.44</v>
      </c>
      <c r="DL20" s="399">
        <f>+DL$3-SUM(BJ$4:BJ20)</f>
        <v>20000000</v>
      </c>
    </row>
    <row r="21" spans="1:116" s="106" customFormat="1">
      <c r="A21" s="391">
        <v>39558</v>
      </c>
      <c r="B21" s="392">
        <v>193209115.10936111</v>
      </c>
      <c r="C21" s="392">
        <v>58872226.340919375</v>
      </c>
      <c r="D21" s="392">
        <v>117665266.30267251</v>
      </c>
      <c r="E21" s="392">
        <v>1368548684.6960831</v>
      </c>
      <c r="F21" s="392">
        <v>1139656560.236115</v>
      </c>
      <c r="G21" s="392">
        <v>547472191.47029364</v>
      </c>
      <c r="H21" s="393">
        <v>500000000</v>
      </c>
      <c r="I21" s="393">
        <v>44546365.122041218</v>
      </c>
      <c r="J21" s="393">
        <v>112020391.73598069</v>
      </c>
      <c r="K21" s="393">
        <v>23000000</v>
      </c>
      <c r="L21" s="393">
        <v>39274605.936000846</v>
      </c>
      <c r="M21" s="393">
        <v>61041051.784276903</v>
      </c>
      <c r="N21" s="393">
        <v>56000000</v>
      </c>
      <c r="O21" s="393">
        <v>36902314.302282669</v>
      </c>
      <c r="P21" s="393">
        <v>141534746.44486183</v>
      </c>
      <c r="Q21" s="393">
        <v>20000000</v>
      </c>
      <c r="R21" s="394">
        <f t="shared" si="2"/>
        <v>4459743519.4808884</v>
      </c>
      <c r="S21" s="391">
        <v>39558</v>
      </c>
      <c r="T21" s="395">
        <f t="shared" si="23"/>
        <v>0</v>
      </c>
      <c r="U21" s="395">
        <f t="shared" si="24"/>
        <v>0</v>
      </c>
      <c r="V21" s="395">
        <f t="shared" si="25"/>
        <v>0</v>
      </c>
      <c r="W21" s="395">
        <f t="shared" si="26"/>
        <v>0</v>
      </c>
      <c r="X21" s="395">
        <f t="shared" si="27"/>
        <v>0</v>
      </c>
      <c r="Y21" s="395">
        <f t="shared" si="28"/>
        <v>0</v>
      </c>
      <c r="Z21" s="395">
        <f t="shared" si="29"/>
        <v>0</v>
      </c>
      <c r="AA21" s="395">
        <f t="shared" si="30"/>
        <v>0</v>
      </c>
      <c r="AB21" s="395">
        <f t="shared" si="31"/>
        <v>0</v>
      </c>
      <c r="AC21" s="395">
        <f t="shared" si="32"/>
        <v>0</v>
      </c>
      <c r="AD21" s="395">
        <f t="shared" si="33"/>
        <v>0</v>
      </c>
      <c r="AE21" s="395">
        <f t="shared" si="34"/>
        <v>0</v>
      </c>
      <c r="AF21" s="395">
        <f t="shared" si="35"/>
        <v>0</v>
      </c>
      <c r="AG21" s="395">
        <f t="shared" si="36"/>
        <v>0</v>
      </c>
      <c r="AH21" s="395">
        <f t="shared" si="37"/>
        <v>0</v>
      </c>
      <c r="AI21" s="395">
        <f t="shared" si="38"/>
        <v>0</v>
      </c>
      <c r="AJ21" s="395">
        <f t="shared" si="39"/>
        <v>0</v>
      </c>
      <c r="AK21" s="396"/>
      <c r="AL21" s="391">
        <v>39558</v>
      </c>
      <c r="AM21" s="397">
        <f t="shared" si="40"/>
        <v>3925424044.1554446</v>
      </c>
      <c r="AN21" s="397">
        <f t="shared" si="41"/>
        <v>179566756.85802191</v>
      </c>
      <c r="AO21" s="397">
        <f t="shared" si="42"/>
        <v>156315657.72027776</v>
      </c>
      <c r="AP21" s="397">
        <f t="shared" si="43"/>
        <v>198437060.74714449</v>
      </c>
      <c r="AQ21" s="397">
        <f t="shared" si="4"/>
        <v>4459743519.4808884</v>
      </c>
      <c r="AR21" s="353"/>
      <c r="AT21" s="391">
        <v>39558</v>
      </c>
      <c r="AU21" s="85">
        <v>0</v>
      </c>
      <c r="AV21" s="85">
        <v>0</v>
      </c>
      <c r="AW21" s="85">
        <v>0</v>
      </c>
      <c r="AX21" s="63">
        <v>0</v>
      </c>
      <c r="AY21" s="63">
        <v>0</v>
      </c>
      <c r="AZ21" s="63">
        <v>0</v>
      </c>
      <c r="BA21" s="63">
        <v>0</v>
      </c>
      <c r="BB21" s="63">
        <v>0</v>
      </c>
      <c r="BC21" s="63">
        <v>0</v>
      </c>
      <c r="BD21" s="63">
        <v>0</v>
      </c>
      <c r="BE21" s="63">
        <v>0</v>
      </c>
      <c r="BF21" s="63">
        <v>0</v>
      </c>
      <c r="BG21" s="63">
        <v>0</v>
      </c>
      <c r="BH21" s="63">
        <v>0</v>
      </c>
      <c r="BI21" s="63">
        <v>0</v>
      </c>
      <c r="BJ21" s="63">
        <v>0</v>
      </c>
      <c r="BL21" s="391">
        <v>39558</v>
      </c>
      <c r="BM21" s="397">
        <f t="shared" si="5"/>
        <v>0</v>
      </c>
      <c r="BN21" s="397">
        <f t="shared" si="6"/>
        <v>0</v>
      </c>
      <c r="BO21" s="397">
        <f t="shared" si="7"/>
        <v>0</v>
      </c>
      <c r="BP21" s="397">
        <f t="shared" si="8"/>
        <v>0</v>
      </c>
      <c r="BQ21" s="397">
        <f t="shared" si="9"/>
        <v>0</v>
      </c>
      <c r="BR21" s="397">
        <f t="shared" si="10"/>
        <v>0</v>
      </c>
      <c r="BS21" s="397">
        <f t="shared" si="11"/>
        <v>0</v>
      </c>
      <c r="BT21" s="397">
        <f t="shared" si="12"/>
        <v>0</v>
      </c>
      <c r="BU21" s="397">
        <f t="shared" si="13"/>
        <v>0</v>
      </c>
      <c r="BV21" s="397">
        <f t="shared" si="14"/>
        <v>0</v>
      </c>
      <c r="BW21" s="397">
        <f t="shared" si="15"/>
        <v>0</v>
      </c>
      <c r="BX21" s="397">
        <f t="shared" si="16"/>
        <v>0</v>
      </c>
      <c r="BY21" s="397">
        <f t="shared" si="17"/>
        <v>0</v>
      </c>
      <c r="BZ21" s="397">
        <f t="shared" si="18"/>
        <v>0</v>
      </c>
      <c r="CA21" s="397">
        <f t="shared" si="19"/>
        <v>0</v>
      </c>
      <c r="CB21" s="397">
        <f t="shared" si="20"/>
        <v>0</v>
      </c>
      <c r="CC21" s="391">
        <v>39558</v>
      </c>
      <c r="CD21" s="397">
        <f t="shared" si="44"/>
        <v>0</v>
      </c>
      <c r="CE21" s="397">
        <f t="shared" si="45"/>
        <v>0</v>
      </c>
      <c r="CF21" s="397">
        <f t="shared" si="46"/>
        <v>0</v>
      </c>
      <c r="CG21" s="397">
        <f t="shared" si="47"/>
        <v>0</v>
      </c>
      <c r="CH21" s="397">
        <f t="shared" si="48"/>
        <v>0</v>
      </c>
      <c r="CI21" s="397">
        <f t="shared" si="49"/>
        <v>0</v>
      </c>
      <c r="CJ21" s="397" t="e">
        <f t="shared" si="50"/>
        <v>#REF!</v>
      </c>
      <c r="CK21" s="397">
        <f t="shared" si="51"/>
        <v>0</v>
      </c>
      <c r="CL21" s="397">
        <f t="shared" si="52"/>
        <v>0</v>
      </c>
      <c r="CM21" s="397">
        <f t="shared" si="53"/>
        <v>0</v>
      </c>
      <c r="CN21" s="397">
        <f t="shared" si="54"/>
        <v>0</v>
      </c>
      <c r="CO21" s="397">
        <f t="shared" si="55"/>
        <v>0</v>
      </c>
      <c r="CP21" s="397">
        <f t="shared" si="56"/>
        <v>0</v>
      </c>
      <c r="CQ21" s="397">
        <f t="shared" si="57"/>
        <v>0</v>
      </c>
      <c r="CR21" s="397">
        <f t="shared" si="58"/>
        <v>0</v>
      </c>
      <c r="CS21" s="397">
        <f t="shared" si="59"/>
        <v>0</v>
      </c>
      <c r="CT21" s="398" t="e">
        <f t="shared" si="60"/>
        <v>#REF!</v>
      </c>
      <c r="CV21" s="391">
        <v>39558</v>
      </c>
      <c r="CW21" s="399">
        <f>+CW$3-SUM(AU$4:AU21)</f>
        <v>193209115.12</v>
      </c>
      <c r="CX21" s="399">
        <f>+CX$3-SUM(AV$4:AV21)</f>
        <v>58872226.339999974</v>
      </c>
      <c r="CY21" s="399">
        <f>+CY$3-SUM(AW$4:AW21)</f>
        <v>117665266.30999994</v>
      </c>
      <c r="CZ21" s="399">
        <f>+CZ$3-SUM(AX$4:AX21)</f>
        <v>1368548684.7</v>
      </c>
      <c r="DA21" s="399">
        <f>+DA$3-SUM(AY$4:AY21)</f>
        <v>1139656560.24</v>
      </c>
      <c r="DB21" s="399">
        <f>+DB$3-SUM(AZ$4:AZ21)</f>
        <v>547472191.47000003</v>
      </c>
      <c r="DC21" s="399" t="e">
        <f>+DC$3-SUM(BA$4:BA21)</f>
        <v>#REF!</v>
      </c>
      <c r="DD21" s="399">
        <f>+DD$3-SUM(BB$4:BB21)</f>
        <v>44546365.119999997</v>
      </c>
      <c r="DE21" s="399">
        <f>+DE$3-SUM(BC$4:BC21)</f>
        <v>112020391.73999999</v>
      </c>
      <c r="DF21" s="399">
        <f>+DF$3-SUM(BD$4:BD21)</f>
        <v>23000000</v>
      </c>
      <c r="DG21" s="399">
        <f>+DG$3-SUM(BE$4:BE21)</f>
        <v>39274605.939999998</v>
      </c>
      <c r="DH21" s="399">
        <f>+DH$3-SUM(BF$4:BF21)</f>
        <v>61041051.780000001</v>
      </c>
      <c r="DI21" s="399">
        <f>+DI$3-SUM(BG$4:BG21)</f>
        <v>56000000</v>
      </c>
      <c r="DJ21" s="399">
        <f>+DJ$3-SUM(BH$4:BH21)</f>
        <v>36902314.299999997</v>
      </c>
      <c r="DK21" s="399">
        <f>+DK$3-SUM(BI$4:BI21)</f>
        <v>141534746.44</v>
      </c>
      <c r="DL21" s="399">
        <f>+DL$3-SUM(BJ$4:BJ21)</f>
        <v>20000000</v>
      </c>
    </row>
    <row r="22" spans="1:116" s="106" customFormat="1">
      <c r="A22" s="391">
        <v>39588</v>
      </c>
      <c r="B22" s="392">
        <v>66625847.224427491</v>
      </c>
      <c r="C22" s="392">
        <v>20301381.514696281</v>
      </c>
      <c r="D22" s="392">
        <v>40575456.555794775</v>
      </c>
      <c r="E22" s="392">
        <v>1368548684.6960831</v>
      </c>
      <c r="F22" s="392">
        <v>1139656560.236115</v>
      </c>
      <c r="G22" s="392">
        <v>547472191.47029364</v>
      </c>
      <c r="H22" s="393">
        <v>500000000</v>
      </c>
      <c r="I22" s="393">
        <v>44546365.122041218</v>
      </c>
      <c r="J22" s="393">
        <v>112020391.73598069</v>
      </c>
      <c r="K22" s="393">
        <v>23000000</v>
      </c>
      <c r="L22" s="393">
        <v>39274605.936000846</v>
      </c>
      <c r="M22" s="393">
        <v>61041051.784276903</v>
      </c>
      <c r="N22" s="393">
        <v>56000000</v>
      </c>
      <c r="O22" s="393">
        <v>36902314.302282669</v>
      </c>
      <c r="P22" s="393">
        <v>141534746.44486183</v>
      </c>
      <c r="Q22" s="393">
        <v>20000000</v>
      </c>
      <c r="R22" s="394">
        <f t="shared" si="2"/>
        <v>4217499597.0228543</v>
      </c>
      <c r="S22" s="391">
        <v>39588</v>
      </c>
      <c r="T22" s="395">
        <f t="shared" si="23"/>
        <v>126583267.88</v>
      </c>
      <c r="U22" s="395">
        <f t="shared" si="24"/>
        <v>38570844.829999998</v>
      </c>
      <c r="V22" s="395">
        <f t="shared" si="25"/>
        <v>77089809.75</v>
      </c>
      <c r="W22" s="395">
        <f t="shared" si="26"/>
        <v>0</v>
      </c>
      <c r="X22" s="395">
        <f t="shared" si="27"/>
        <v>0</v>
      </c>
      <c r="Y22" s="395">
        <f t="shared" si="28"/>
        <v>0</v>
      </c>
      <c r="Z22" s="395">
        <f t="shared" si="29"/>
        <v>0</v>
      </c>
      <c r="AA22" s="395">
        <f t="shared" si="30"/>
        <v>0</v>
      </c>
      <c r="AB22" s="395">
        <f t="shared" si="31"/>
        <v>0</v>
      </c>
      <c r="AC22" s="395">
        <f t="shared" si="32"/>
        <v>0</v>
      </c>
      <c r="AD22" s="395">
        <f t="shared" si="33"/>
        <v>0</v>
      </c>
      <c r="AE22" s="395">
        <f t="shared" si="34"/>
        <v>0</v>
      </c>
      <c r="AF22" s="395">
        <f t="shared" si="35"/>
        <v>0</v>
      </c>
      <c r="AG22" s="395">
        <f t="shared" si="36"/>
        <v>0</v>
      </c>
      <c r="AH22" s="395">
        <f t="shared" si="37"/>
        <v>0</v>
      </c>
      <c r="AI22" s="395">
        <f t="shared" si="38"/>
        <v>0</v>
      </c>
      <c r="AJ22" s="395">
        <f t="shared" si="39"/>
        <v>242243922.46000001</v>
      </c>
      <c r="AK22" s="396"/>
      <c r="AL22" s="391">
        <v>39588</v>
      </c>
      <c r="AM22" s="397">
        <f t="shared" si="40"/>
        <v>3683180121.6974101</v>
      </c>
      <c r="AN22" s="397">
        <f t="shared" si="41"/>
        <v>179566756.85802191</v>
      </c>
      <c r="AO22" s="397">
        <f t="shared" si="42"/>
        <v>156315657.72027776</v>
      </c>
      <c r="AP22" s="397">
        <f t="shared" si="43"/>
        <v>198437060.74714449</v>
      </c>
      <c r="AQ22" s="397">
        <f t="shared" si="4"/>
        <v>4217499597.0228543</v>
      </c>
      <c r="AR22" s="353"/>
      <c r="AT22" s="391">
        <v>39588</v>
      </c>
      <c r="AU22" s="85">
        <v>126583267.88</v>
      </c>
      <c r="AV22" s="85">
        <v>38570844.829999998</v>
      </c>
      <c r="AW22" s="85">
        <v>77089809.75</v>
      </c>
      <c r="AX22" s="63">
        <v>0</v>
      </c>
      <c r="AY22" s="63">
        <v>0</v>
      </c>
      <c r="AZ22" s="63">
        <v>0</v>
      </c>
      <c r="BA22" s="63">
        <v>0</v>
      </c>
      <c r="BB22" s="63">
        <v>0</v>
      </c>
      <c r="BC22" s="63">
        <v>0</v>
      </c>
      <c r="BD22" s="63">
        <v>0</v>
      </c>
      <c r="BE22" s="63">
        <v>0</v>
      </c>
      <c r="BF22" s="63">
        <v>0</v>
      </c>
      <c r="BG22" s="63">
        <v>0</v>
      </c>
      <c r="BH22" s="63">
        <v>0</v>
      </c>
      <c r="BI22" s="63">
        <v>0</v>
      </c>
      <c r="BJ22" s="63">
        <v>0</v>
      </c>
      <c r="BL22" s="391">
        <v>39588</v>
      </c>
      <c r="BM22" s="397">
        <f t="shared" si="5"/>
        <v>0</v>
      </c>
      <c r="BN22" s="397">
        <f t="shared" si="6"/>
        <v>0</v>
      </c>
      <c r="BO22" s="397">
        <f t="shared" si="7"/>
        <v>0</v>
      </c>
      <c r="BP22" s="397">
        <f t="shared" si="8"/>
        <v>0</v>
      </c>
      <c r="BQ22" s="397">
        <f t="shared" si="9"/>
        <v>0</v>
      </c>
      <c r="BR22" s="397">
        <f t="shared" si="10"/>
        <v>0</v>
      </c>
      <c r="BS22" s="397">
        <f t="shared" si="11"/>
        <v>0</v>
      </c>
      <c r="BT22" s="397">
        <f t="shared" si="12"/>
        <v>0</v>
      </c>
      <c r="BU22" s="397">
        <f t="shared" si="13"/>
        <v>0</v>
      </c>
      <c r="BV22" s="397">
        <f t="shared" si="14"/>
        <v>0</v>
      </c>
      <c r="BW22" s="397">
        <f t="shared" si="15"/>
        <v>0</v>
      </c>
      <c r="BX22" s="397">
        <f t="shared" si="16"/>
        <v>0</v>
      </c>
      <c r="BY22" s="397">
        <f t="shared" si="17"/>
        <v>0</v>
      </c>
      <c r="BZ22" s="397">
        <f t="shared" si="18"/>
        <v>0</v>
      </c>
      <c r="CA22" s="397">
        <f t="shared" si="19"/>
        <v>0</v>
      </c>
      <c r="CB22" s="397">
        <f t="shared" si="20"/>
        <v>0</v>
      </c>
      <c r="CC22" s="391">
        <v>39588</v>
      </c>
      <c r="CD22" s="397">
        <f t="shared" si="44"/>
        <v>0</v>
      </c>
      <c r="CE22" s="397">
        <f t="shared" si="45"/>
        <v>0</v>
      </c>
      <c r="CF22" s="397">
        <f t="shared" si="46"/>
        <v>0</v>
      </c>
      <c r="CG22" s="397">
        <f t="shared" si="47"/>
        <v>0</v>
      </c>
      <c r="CH22" s="397">
        <f t="shared" si="48"/>
        <v>0</v>
      </c>
      <c r="CI22" s="397">
        <f t="shared" si="49"/>
        <v>0</v>
      </c>
      <c r="CJ22" s="397" t="e">
        <f t="shared" si="50"/>
        <v>#REF!</v>
      </c>
      <c r="CK22" s="397">
        <f t="shared" si="51"/>
        <v>0</v>
      </c>
      <c r="CL22" s="397">
        <f t="shared" si="52"/>
        <v>0</v>
      </c>
      <c r="CM22" s="397">
        <f t="shared" si="53"/>
        <v>0</v>
      </c>
      <c r="CN22" s="397">
        <f t="shared" si="54"/>
        <v>0</v>
      </c>
      <c r="CO22" s="397">
        <f t="shared" si="55"/>
        <v>0</v>
      </c>
      <c r="CP22" s="397">
        <f t="shared" si="56"/>
        <v>0</v>
      </c>
      <c r="CQ22" s="397">
        <f t="shared" si="57"/>
        <v>0</v>
      </c>
      <c r="CR22" s="397">
        <f t="shared" si="58"/>
        <v>0</v>
      </c>
      <c r="CS22" s="397">
        <f t="shared" si="59"/>
        <v>0</v>
      </c>
      <c r="CT22" s="398" t="e">
        <f t="shared" si="60"/>
        <v>#REF!</v>
      </c>
      <c r="CV22" s="391">
        <v>39588</v>
      </c>
      <c r="CW22" s="399">
        <f>+CW$3-SUM(AU$4:AU22)</f>
        <v>66625847.24000001</v>
      </c>
      <c r="CX22" s="399">
        <f>+CX$3-SUM(AV$4:AV22)</f>
        <v>20301381.50999999</v>
      </c>
      <c r="CY22" s="399">
        <f>+CY$3-SUM(AW$4:AW22)</f>
        <v>40575456.559999943</v>
      </c>
      <c r="CZ22" s="399">
        <f>+CZ$3-SUM(AX$4:AX22)</f>
        <v>1368548684.7</v>
      </c>
      <c r="DA22" s="399">
        <f>+DA$3-SUM(AY$4:AY22)</f>
        <v>1139656560.24</v>
      </c>
      <c r="DB22" s="399">
        <f>+DB$3-SUM(AZ$4:AZ22)</f>
        <v>547472191.47000003</v>
      </c>
      <c r="DC22" s="399" t="e">
        <f>+DC$3-SUM(BA$4:BA22)</f>
        <v>#REF!</v>
      </c>
      <c r="DD22" s="399">
        <f>+DD$3-SUM(BB$4:BB22)</f>
        <v>44546365.119999997</v>
      </c>
      <c r="DE22" s="399">
        <f>+DE$3-SUM(BC$4:BC22)</f>
        <v>112020391.73999999</v>
      </c>
      <c r="DF22" s="399">
        <f>+DF$3-SUM(BD$4:BD22)</f>
        <v>23000000</v>
      </c>
      <c r="DG22" s="399">
        <f>+DG$3-SUM(BE$4:BE22)</f>
        <v>39274605.939999998</v>
      </c>
      <c r="DH22" s="399">
        <f>+DH$3-SUM(BF$4:BF22)</f>
        <v>61041051.780000001</v>
      </c>
      <c r="DI22" s="399">
        <f>+DI$3-SUM(BG$4:BG22)</f>
        <v>56000000</v>
      </c>
      <c r="DJ22" s="399">
        <f>+DJ$3-SUM(BH$4:BH22)</f>
        <v>36902314.299999997</v>
      </c>
      <c r="DK22" s="399">
        <f>+DK$3-SUM(BI$4:BI22)</f>
        <v>141534746.44</v>
      </c>
      <c r="DL22" s="399">
        <f>+DL$3-SUM(BJ$4:BJ22)</f>
        <v>20000000</v>
      </c>
    </row>
    <row r="23" spans="1:116" s="106" customFormat="1">
      <c r="A23" s="391">
        <v>39619</v>
      </c>
      <c r="B23" s="392">
        <v>66625847.224427491</v>
      </c>
      <c r="C23" s="392">
        <v>20301381.514696281</v>
      </c>
      <c r="D23" s="392">
        <v>40575456.555794775</v>
      </c>
      <c r="E23" s="392">
        <v>1368548684.6960831</v>
      </c>
      <c r="F23" s="392">
        <v>1139656560.236115</v>
      </c>
      <c r="G23" s="392">
        <v>547472191.47029364</v>
      </c>
      <c r="H23" s="393">
        <v>500000000</v>
      </c>
      <c r="I23" s="393">
        <v>44546365.122041218</v>
      </c>
      <c r="J23" s="393">
        <v>112020391.73598069</v>
      </c>
      <c r="K23" s="393">
        <v>23000000</v>
      </c>
      <c r="L23" s="393">
        <v>39274605.936000846</v>
      </c>
      <c r="M23" s="393">
        <v>61041051.784276903</v>
      </c>
      <c r="N23" s="393">
        <v>56000000</v>
      </c>
      <c r="O23" s="393">
        <v>36902314.302282669</v>
      </c>
      <c r="P23" s="393">
        <v>141534746.44486183</v>
      </c>
      <c r="Q23" s="393">
        <v>20000000</v>
      </c>
      <c r="R23" s="394">
        <f t="shared" si="2"/>
        <v>4217499597.0228543</v>
      </c>
      <c r="S23" s="391">
        <v>39619</v>
      </c>
      <c r="T23" s="395">
        <f t="shared" si="23"/>
        <v>0</v>
      </c>
      <c r="U23" s="395">
        <f t="shared" si="24"/>
        <v>0</v>
      </c>
      <c r="V23" s="395">
        <f t="shared" si="25"/>
        <v>0</v>
      </c>
      <c r="W23" s="395">
        <f t="shared" si="26"/>
        <v>0</v>
      </c>
      <c r="X23" s="395">
        <f t="shared" si="27"/>
        <v>0</v>
      </c>
      <c r="Y23" s="395">
        <f t="shared" si="28"/>
        <v>0</v>
      </c>
      <c r="Z23" s="395">
        <f t="shared" si="29"/>
        <v>0</v>
      </c>
      <c r="AA23" s="395">
        <f t="shared" si="30"/>
        <v>0</v>
      </c>
      <c r="AB23" s="395">
        <f t="shared" si="31"/>
        <v>0</v>
      </c>
      <c r="AC23" s="395">
        <f t="shared" si="32"/>
        <v>0</v>
      </c>
      <c r="AD23" s="395">
        <f t="shared" si="33"/>
        <v>0</v>
      </c>
      <c r="AE23" s="395">
        <f t="shared" si="34"/>
        <v>0</v>
      </c>
      <c r="AF23" s="395">
        <f t="shared" si="35"/>
        <v>0</v>
      </c>
      <c r="AG23" s="395">
        <f t="shared" si="36"/>
        <v>0</v>
      </c>
      <c r="AH23" s="395">
        <f t="shared" si="37"/>
        <v>0</v>
      </c>
      <c r="AI23" s="395">
        <f t="shared" si="38"/>
        <v>0</v>
      </c>
      <c r="AJ23" s="395">
        <f t="shared" si="39"/>
        <v>0</v>
      </c>
      <c r="AK23" s="396"/>
      <c r="AL23" s="391">
        <v>39619</v>
      </c>
      <c r="AM23" s="397">
        <f t="shared" si="40"/>
        <v>3683180121.6974101</v>
      </c>
      <c r="AN23" s="397">
        <f t="shared" si="41"/>
        <v>179566756.85802191</v>
      </c>
      <c r="AO23" s="397">
        <f t="shared" si="42"/>
        <v>156315657.72027776</v>
      </c>
      <c r="AP23" s="397">
        <f t="shared" si="43"/>
        <v>198437060.74714449</v>
      </c>
      <c r="AQ23" s="397">
        <f t="shared" si="4"/>
        <v>4217499597.0228543</v>
      </c>
      <c r="AR23" s="353"/>
      <c r="AT23" s="391">
        <v>39619</v>
      </c>
      <c r="AU23" s="85">
        <v>0</v>
      </c>
      <c r="AV23" s="85">
        <v>0</v>
      </c>
      <c r="AW23" s="85">
        <v>0</v>
      </c>
      <c r="AX23" s="63">
        <v>0</v>
      </c>
      <c r="AY23" s="63">
        <v>0</v>
      </c>
      <c r="AZ23" s="63">
        <v>0</v>
      </c>
      <c r="BA23" s="63">
        <v>0</v>
      </c>
      <c r="BB23" s="63">
        <v>0</v>
      </c>
      <c r="BC23" s="63">
        <v>0</v>
      </c>
      <c r="BD23" s="63">
        <v>0</v>
      </c>
      <c r="BE23" s="63">
        <v>0</v>
      </c>
      <c r="BF23" s="63">
        <v>0</v>
      </c>
      <c r="BG23" s="63">
        <v>0</v>
      </c>
      <c r="BH23" s="63">
        <v>0</v>
      </c>
      <c r="BI23" s="63">
        <v>0</v>
      </c>
      <c r="BJ23" s="63">
        <v>0</v>
      </c>
      <c r="BL23" s="391">
        <v>39619</v>
      </c>
      <c r="BM23" s="397">
        <f t="shared" si="5"/>
        <v>0</v>
      </c>
      <c r="BN23" s="397">
        <f t="shared" si="6"/>
        <v>0</v>
      </c>
      <c r="BO23" s="397">
        <f t="shared" si="7"/>
        <v>0</v>
      </c>
      <c r="BP23" s="397">
        <f t="shared" si="8"/>
        <v>0</v>
      </c>
      <c r="BQ23" s="397">
        <f t="shared" si="9"/>
        <v>0</v>
      </c>
      <c r="BR23" s="397">
        <f t="shared" si="10"/>
        <v>0</v>
      </c>
      <c r="BS23" s="397">
        <f t="shared" si="11"/>
        <v>0</v>
      </c>
      <c r="BT23" s="397">
        <f t="shared" si="12"/>
        <v>0</v>
      </c>
      <c r="BU23" s="397">
        <f t="shared" si="13"/>
        <v>0</v>
      </c>
      <c r="BV23" s="397">
        <f t="shared" si="14"/>
        <v>0</v>
      </c>
      <c r="BW23" s="397">
        <f t="shared" si="15"/>
        <v>0</v>
      </c>
      <c r="BX23" s="397">
        <f t="shared" si="16"/>
        <v>0</v>
      </c>
      <c r="BY23" s="397">
        <f t="shared" si="17"/>
        <v>0</v>
      </c>
      <c r="BZ23" s="397">
        <f t="shared" si="18"/>
        <v>0</v>
      </c>
      <c r="CA23" s="397">
        <f t="shared" si="19"/>
        <v>0</v>
      </c>
      <c r="CB23" s="397">
        <f t="shared" si="20"/>
        <v>0</v>
      </c>
      <c r="CC23" s="391">
        <v>39619</v>
      </c>
      <c r="CD23" s="397">
        <f t="shared" si="44"/>
        <v>0</v>
      </c>
      <c r="CE23" s="397">
        <f t="shared" si="45"/>
        <v>0</v>
      </c>
      <c r="CF23" s="397">
        <f t="shared" si="46"/>
        <v>0</v>
      </c>
      <c r="CG23" s="397">
        <f t="shared" si="47"/>
        <v>0</v>
      </c>
      <c r="CH23" s="397">
        <f t="shared" si="48"/>
        <v>0</v>
      </c>
      <c r="CI23" s="397">
        <f t="shared" si="49"/>
        <v>0</v>
      </c>
      <c r="CJ23" s="397" t="e">
        <f t="shared" si="50"/>
        <v>#REF!</v>
      </c>
      <c r="CK23" s="397">
        <f t="shared" si="51"/>
        <v>0</v>
      </c>
      <c r="CL23" s="397">
        <f t="shared" si="52"/>
        <v>0</v>
      </c>
      <c r="CM23" s="397">
        <f t="shared" si="53"/>
        <v>0</v>
      </c>
      <c r="CN23" s="397">
        <f t="shared" si="54"/>
        <v>0</v>
      </c>
      <c r="CO23" s="397">
        <f t="shared" si="55"/>
        <v>0</v>
      </c>
      <c r="CP23" s="397">
        <f t="shared" si="56"/>
        <v>0</v>
      </c>
      <c r="CQ23" s="397">
        <f t="shared" si="57"/>
        <v>0</v>
      </c>
      <c r="CR23" s="397">
        <f t="shared" si="58"/>
        <v>0</v>
      </c>
      <c r="CS23" s="397">
        <f t="shared" si="59"/>
        <v>0</v>
      </c>
      <c r="CT23" s="398" t="e">
        <f t="shared" si="60"/>
        <v>#REF!</v>
      </c>
      <c r="CV23" s="391">
        <v>39619</v>
      </c>
      <c r="CW23" s="399">
        <f>+CW$3-SUM(AU$4:AU23)</f>
        <v>66625847.24000001</v>
      </c>
      <c r="CX23" s="399">
        <f>+CX$3-SUM(AV$4:AV23)</f>
        <v>20301381.50999999</v>
      </c>
      <c r="CY23" s="399">
        <f>+CY$3-SUM(AW$4:AW23)</f>
        <v>40575456.559999943</v>
      </c>
      <c r="CZ23" s="399">
        <f>+CZ$3-SUM(AX$4:AX23)</f>
        <v>1368548684.7</v>
      </c>
      <c r="DA23" s="399">
        <f>+DA$3-SUM(AY$4:AY23)</f>
        <v>1139656560.24</v>
      </c>
      <c r="DB23" s="399">
        <f>+DB$3-SUM(AZ$4:AZ23)</f>
        <v>547472191.47000003</v>
      </c>
      <c r="DC23" s="399" t="e">
        <f>+DC$3-SUM(BA$4:BA23)</f>
        <v>#REF!</v>
      </c>
      <c r="DD23" s="399">
        <f>+DD$3-SUM(BB$4:BB23)</f>
        <v>44546365.119999997</v>
      </c>
      <c r="DE23" s="399">
        <f>+DE$3-SUM(BC$4:BC23)</f>
        <v>112020391.73999999</v>
      </c>
      <c r="DF23" s="399">
        <f>+DF$3-SUM(BD$4:BD23)</f>
        <v>23000000</v>
      </c>
      <c r="DG23" s="399">
        <f>+DG$3-SUM(BE$4:BE23)</f>
        <v>39274605.939999998</v>
      </c>
      <c r="DH23" s="399">
        <f>+DH$3-SUM(BF$4:BF23)</f>
        <v>61041051.780000001</v>
      </c>
      <c r="DI23" s="399">
        <f>+DI$3-SUM(BG$4:BG23)</f>
        <v>56000000</v>
      </c>
      <c r="DJ23" s="399">
        <f>+DJ$3-SUM(BH$4:BH23)</f>
        <v>36902314.299999997</v>
      </c>
      <c r="DK23" s="399">
        <f>+DK$3-SUM(BI$4:BI23)</f>
        <v>141534746.44</v>
      </c>
      <c r="DL23" s="399">
        <f>+DL$3-SUM(BJ$4:BJ23)</f>
        <v>20000000</v>
      </c>
    </row>
    <row r="24" spans="1:116" s="106" customFormat="1">
      <c r="A24" s="391">
        <v>39649</v>
      </c>
      <c r="B24" s="393">
        <v>66625847.224427491</v>
      </c>
      <c r="C24" s="393">
        <v>20301381.514696281</v>
      </c>
      <c r="D24" s="393">
        <v>40575456.555794775</v>
      </c>
      <c r="E24" s="393">
        <v>1368548684.6960831</v>
      </c>
      <c r="F24" s="393">
        <v>1139656560.236115</v>
      </c>
      <c r="G24" s="393">
        <v>547472191.47029364</v>
      </c>
      <c r="H24" s="393">
        <v>500000000</v>
      </c>
      <c r="I24" s="393">
        <v>44546365.122041218</v>
      </c>
      <c r="J24" s="393">
        <v>112020391.73598069</v>
      </c>
      <c r="K24" s="393">
        <v>23000000</v>
      </c>
      <c r="L24" s="393">
        <v>39274605.936000846</v>
      </c>
      <c r="M24" s="393">
        <v>61041051.784276903</v>
      </c>
      <c r="N24" s="393">
        <v>56000000</v>
      </c>
      <c r="O24" s="393">
        <v>36902314.302282669</v>
      </c>
      <c r="P24" s="393">
        <v>141534746.44486183</v>
      </c>
      <c r="Q24" s="393">
        <v>20000000</v>
      </c>
      <c r="R24" s="394">
        <f t="shared" si="2"/>
        <v>4217499597.0228543</v>
      </c>
      <c r="S24" s="391">
        <v>39649</v>
      </c>
      <c r="T24" s="395">
        <f t="shared" si="23"/>
        <v>0</v>
      </c>
      <c r="U24" s="395">
        <f t="shared" si="24"/>
        <v>0</v>
      </c>
      <c r="V24" s="395">
        <f t="shared" si="25"/>
        <v>0</v>
      </c>
      <c r="W24" s="395">
        <f t="shared" si="26"/>
        <v>0</v>
      </c>
      <c r="X24" s="395">
        <f t="shared" si="27"/>
        <v>0</v>
      </c>
      <c r="Y24" s="395">
        <f t="shared" si="28"/>
        <v>0</v>
      </c>
      <c r="Z24" s="395">
        <f t="shared" si="29"/>
        <v>0</v>
      </c>
      <c r="AA24" s="395">
        <f t="shared" si="30"/>
        <v>0</v>
      </c>
      <c r="AB24" s="395">
        <f t="shared" si="31"/>
        <v>0</v>
      </c>
      <c r="AC24" s="395">
        <f t="shared" si="32"/>
        <v>0</v>
      </c>
      <c r="AD24" s="395">
        <f t="shared" si="33"/>
        <v>0</v>
      </c>
      <c r="AE24" s="395">
        <f t="shared" si="34"/>
        <v>0</v>
      </c>
      <c r="AF24" s="395">
        <f t="shared" si="35"/>
        <v>0</v>
      </c>
      <c r="AG24" s="395">
        <f t="shared" si="36"/>
        <v>0</v>
      </c>
      <c r="AH24" s="395">
        <f t="shared" si="37"/>
        <v>0</v>
      </c>
      <c r="AI24" s="395">
        <f t="shared" si="38"/>
        <v>0</v>
      </c>
      <c r="AJ24" s="395">
        <f t="shared" si="39"/>
        <v>0</v>
      </c>
      <c r="AK24" s="396"/>
      <c r="AL24" s="391">
        <v>39649</v>
      </c>
      <c r="AM24" s="397">
        <f t="shared" si="40"/>
        <v>3683180121.6974101</v>
      </c>
      <c r="AN24" s="397">
        <f t="shared" si="41"/>
        <v>179566756.85802191</v>
      </c>
      <c r="AO24" s="397">
        <f t="shared" si="42"/>
        <v>156315657.72027776</v>
      </c>
      <c r="AP24" s="397">
        <f t="shared" si="43"/>
        <v>198437060.74714449</v>
      </c>
      <c r="AQ24" s="397">
        <f t="shared" si="4"/>
        <v>4217499597.0228543</v>
      </c>
      <c r="AR24" s="353"/>
      <c r="AT24" s="391">
        <v>39649</v>
      </c>
      <c r="AU24" s="85">
        <v>0</v>
      </c>
      <c r="AV24" s="85">
        <v>0</v>
      </c>
      <c r="AW24" s="85">
        <v>0</v>
      </c>
      <c r="AX24" s="63">
        <v>0</v>
      </c>
      <c r="AY24" s="63">
        <v>0</v>
      </c>
      <c r="AZ24" s="63">
        <v>0</v>
      </c>
      <c r="BA24" s="63">
        <v>0</v>
      </c>
      <c r="BB24" s="63">
        <v>0</v>
      </c>
      <c r="BC24" s="63">
        <v>0</v>
      </c>
      <c r="BD24" s="63">
        <v>0</v>
      </c>
      <c r="BE24" s="63">
        <v>0</v>
      </c>
      <c r="BF24" s="63">
        <v>0</v>
      </c>
      <c r="BG24" s="63">
        <v>0</v>
      </c>
      <c r="BH24" s="63">
        <v>0</v>
      </c>
      <c r="BI24" s="63">
        <v>0</v>
      </c>
      <c r="BJ24" s="63">
        <v>0</v>
      </c>
      <c r="BL24" s="391">
        <v>39649</v>
      </c>
      <c r="BM24" s="397">
        <f t="shared" si="5"/>
        <v>0</v>
      </c>
      <c r="BN24" s="397">
        <f t="shared" si="6"/>
        <v>0</v>
      </c>
      <c r="BO24" s="397">
        <f t="shared" si="7"/>
        <v>0</v>
      </c>
      <c r="BP24" s="397">
        <f t="shared" si="8"/>
        <v>0</v>
      </c>
      <c r="BQ24" s="397">
        <f t="shared" si="9"/>
        <v>0</v>
      </c>
      <c r="BR24" s="397">
        <f t="shared" si="10"/>
        <v>0</v>
      </c>
      <c r="BS24" s="397">
        <f t="shared" si="11"/>
        <v>0</v>
      </c>
      <c r="BT24" s="397">
        <f t="shared" si="12"/>
        <v>0</v>
      </c>
      <c r="BU24" s="397">
        <f t="shared" si="13"/>
        <v>0</v>
      </c>
      <c r="BV24" s="397">
        <f t="shared" si="14"/>
        <v>0</v>
      </c>
      <c r="BW24" s="397">
        <f t="shared" si="15"/>
        <v>0</v>
      </c>
      <c r="BX24" s="397">
        <f t="shared" si="16"/>
        <v>0</v>
      </c>
      <c r="BY24" s="397">
        <f t="shared" si="17"/>
        <v>0</v>
      </c>
      <c r="BZ24" s="397">
        <f t="shared" si="18"/>
        <v>0</v>
      </c>
      <c r="CA24" s="397">
        <f t="shared" si="19"/>
        <v>0</v>
      </c>
      <c r="CB24" s="397">
        <f t="shared" si="20"/>
        <v>0</v>
      </c>
      <c r="CC24" s="391">
        <v>39649</v>
      </c>
      <c r="CD24" s="397">
        <f t="shared" si="44"/>
        <v>0</v>
      </c>
      <c r="CE24" s="397">
        <f t="shared" si="45"/>
        <v>0</v>
      </c>
      <c r="CF24" s="397">
        <f t="shared" si="46"/>
        <v>0</v>
      </c>
      <c r="CG24" s="397">
        <f t="shared" si="47"/>
        <v>0</v>
      </c>
      <c r="CH24" s="397">
        <f t="shared" si="48"/>
        <v>0</v>
      </c>
      <c r="CI24" s="397">
        <f t="shared" si="49"/>
        <v>0</v>
      </c>
      <c r="CJ24" s="397" t="e">
        <f t="shared" si="50"/>
        <v>#REF!</v>
      </c>
      <c r="CK24" s="397">
        <f t="shared" si="51"/>
        <v>0</v>
      </c>
      <c r="CL24" s="397">
        <f t="shared" si="52"/>
        <v>0</v>
      </c>
      <c r="CM24" s="397">
        <f t="shared" si="53"/>
        <v>0</v>
      </c>
      <c r="CN24" s="397">
        <f t="shared" si="54"/>
        <v>0</v>
      </c>
      <c r="CO24" s="397">
        <f t="shared" si="55"/>
        <v>0</v>
      </c>
      <c r="CP24" s="397">
        <f t="shared" si="56"/>
        <v>0</v>
      </c>
      <c r="CQ24" s="397">
        <f t="shared" si="57"/>
        <v>0</v>
      </c>
      <c r="CR24" s="397">
        <f t="shared" si="58"/>
        <v>0</v>
      </c>
      <c r="CS24" s="397">
        <f t="shared" si="59"/>
        <v>0</v>
      </c>
      <c r="CT24" s="398" t="e">
        <f t="shared" si="60"/>
        <v>#REF!</v>
      </c>
      <c r="CV24" s="391">
        <v>39649</v>
      </c>
      <c r="CW24" s="399">
        <f>+CW$3-SUM(AU$4:AU24)</f>
        <v>66625847.24000001</v>
      </c>
      <c r="CX24" s="399">
        <f>+CX$3-SUM(AV$4:AV24)</f>
        <v>20301381.50999999</v>
      </c>
      <c r="CY24" s="399">
        <f>+CY$3-SUM(AW$4:AW24)</f>
        <v>40575456.559999943</v>
      </c>
      <c r="CZ24" s="399">
        <f>+CZ$3-SUM(AX$4:AX24)</f>
        <v>1368548684.7</v>
      </c>
      <c r="DA24" s="399">
        <f>+DA$3-SUM(AY$4:AY24)</f>
        <v>1139656560.24</v>
      </c>
      <c r="DB24" s="399">
        <f>+DB$3-SUM(AZ$4:AZ24)</f>
        <v>547472191.47000003</v>
      </c>
      <c r="DC24" s="399" t="e">
        <f>+DC$3-SUM(BA$4:BA24)</f>
        <v>#REF!</v>
      </c>
      <c r="DD24" s="399">
        <f>+DD$3-SUM(BB$4:BB24)</f>
        <v>44546365.119999997</v>
      </c>
      <c r="DE24" s="399">
        <f>+DE$3-SUM(BC$4:BC24)</f>
        <v>112020391.73999999</v>
      </c>
      <c r="DF24" s="399">
        <f>+DF$3-SUM(BD$4:BD24)</f>
        <v>23000000</v>
      </c>
      <c r="DG24" s="399">
        <f>+DG$3-SUM(BE$4:BE24)</f>
        <v>39274605.939999998</v>
      </c>
      <c r="DH24" s="399">
        <f>+DH$3-SUM(BF$4:BF24)</f>
        <v>61041051.780000001</v>
      </c>
      <c r="DI24" s="399">
        <f>+DI$3-SUM(BG$4:BG24)</f>
        <v>56000000</v>
      </c>
      <c r="DJ24" s="399">
        <f>+DJ$3-SUM(BH$4:BH24)</f>
        <v>36902314.299999997</v>
      </c>
      <c r="DK24" s="399">
        <f>+DK$3-SUM(BI$4:BI24)</f>
        <v>141534746.44</v>
      </c>
      <c r="DL24" s="399">
        <f>+DL$3-SUM(BJ$4:BJ24)</f>
        <v>20000000</v>
      </c>
    </row>
    <row r="25" spans="1:116" s="106" customFormat="1">
      <c r="A25" s="391">
        <v>39680</v>
      </c>
      <c r="B25" s="393">
        <v>0</v>
      </c>
      <c r="C25" s="393">
        <v>0</v>
      </c>
      <c r="D25" s="393">
        <v>0</v>
      </c>
      <c r="E25" s="393">
        <v>1351123331.0937667</v>
      </c>
      <c r="F25" s="393">
        <v>1139656560.236115</v>
      </c>
      <c r="G25" s="393">
        <v>547472191.47029364</v>
      </c>
      <c r="H25" s="393">
        <v>500000000</v>
      </c>
      <c r="I25" s="393">
        <v>0</v>
      </c>
      <c r="J25" s="393">
        <v>112020391.73598069</v>
      </c>
      <c r="K25" s="393">
        <v>23000000</v>
      </c>
      <c r="L25" s="393">
        <v>0</v>
      </c>
      <c r="M25" s="393">
        <v>61041051.784276903</v>
      </c>
      <c r="N25" s="393">
        <v>56000000</v>
      </c>
      <c r="O25" s="393">
        <v>36902314.302282669</v>
      </c>
      <c r="P25" s="393">
        <v>141534746.44486183</v>
      </c>
      <c r="Q25" s="393">
        <v>20000000</v>
      </c>
      <c r="R25" s="394">
        <f t="shared" si="2"/>
        <v>3988750587.0675774</v>
      </c>
      <c r="S25" s="391">
        <v>39680</v>
      </c>
      <c r="T25" s="395">
        <f t="shared" si="23"/>
        <v>66625847.219999999</v>
      </c>
      <c r="U25" s="395">
        <f t="shared" si="24"/>
        <v>20301381.510000002</v>
      </c>
      <c r="V25" s="395">
        <f t="shared" si="25"/>
        <v>40575456.560000002</v>
      </c>
      <c r="W25" s="404">
        <f t="shared" si="26"/>
        <v>17425353.600000001</v>
      </c>
      <c r="X25" s="395">
        <f t="shared" si="27"/>
        <v>0</v>
      </c>
      <c r="Y25" s="395">
        <f t="shared" si="28"/>
        <v>0</v>
      </c>
      <c r="Z25" s="395">
        <f t="shared" si="29"/>
        <v>0</v>
      </c>
      <c r="AA25" s="395">
        <f t="shared" si="30"/>
        <v>44546365.119999997</v>
      </c>
      <c r="AB25" s="395">
        <f t="shared" si="31"/>
        <v>0</v>
      </c>
      <c r="AC25" s="395">
        <f t="shared" si="32"/>
        <v>0</v>
      </c>
      <c r="AD25" s="395">
        <f t="shared" si="33"/>
        <v>39274605.939999998</v>
      </c>
      <c r="AE25" s="395">
        <f t="shared" si="34"/>
        <v>0</v>
      </c>
      <c r="AF25" s="395">
        <f t="shared" si="35"/>
        <v>0</v>
      </c>
      <c r="AG25" s="395">
        <f t="shared" si="36"/>
        <v>0</v>
      </c>
      <c r="AH25" s="395">
        <f t="shared" si="37"/>
        <v>0</v>
      </c>
      <c r="AI25" s="395">
        <f t="shared" si="38"/>
        <v>0</v>
      </c>
      <c r="AJ25" s="395">
        <f t="shared" si="39"/>
        <v>228749009.94999999</v>
      </c>
      <c r="AK25" s="396"/>
      <c r="AL25" s="391">
        <v>39680</v>
      </c>
      <c r="AM25" s="397">
        <f t="shared" si="40"/>
        <v>3538252082.8001752</v>
      </c>
      <c r="AN25" s="397">
        <f t="shared" si="41"/>
        <v>135020391.73598069</v>
      </c>
      <c r="AO25" s="397">
        <f t="shared" si="42"/>
        <v>117041051.7842769</v>
      </c>
      <c r="AP25" s="397">
        <f t="shared" si="43"/>
        <v>198437060.74714449</v>
      </c>
      <c r="AQ25" s="397">
        <f t="shared" si="4"/>
        <v>3988750587.0675774</v>
      </c>
      <c r="AR25" s="353"/>
      <c r="AT25" s="391">
        <v>39680</v>
      </c>
      <c r="AU25" s="85">
        <v>66625847.219999999</v>
      </c>
      <c r="AV25" s="85">
        <v>20301381.510000002</v>
      </c>
      <c r="AW25" s="85">
        <v>40575456.560000002</v>
      </c>
      <c r="AX25" s="63">
        <v>17425353.600000001</v>
      </c>
      <c r="AY25" s="63">
        <v>0</v>
      </c>
      <c r="AZ25" s="63">
        <v>0</v>
      </c>
      <c r="BA25" s="63">
        <v>0</v>
      </c>
      <c r="BB25" s="85">
        <v>44546365.119999997</v>
      </c>
      <c r="BC25" s="63">
        <v>0</v>
      </c>
      <c r="BD25" s="63">
        <v>0</v>
      </c>
      <c r="BE25" s="85">
        <v>39274605.939999998</v>
      </c>
      <c r="BF25" s="63">
        <v>0</v>
      </c>
      <c r="BG25" s="63">
        <v>0</v>
      </c>
      <c r="BH25" s="63">
        <v>0</v>
      </c>
      <c r="BI25" s="63">
        <v>0</v>
      </c>
      <c r="BJ25" s="63">
        <v>0</v>
      </c>
      <c r="BL25" s="391">
        <v>39680</v>
      </c>
      <c r="BM25" s="397">
        <f t="shared" si="5"/>
        <v>0</v>
      </c>
      <c r="BN25" s="397">
        <f t="shared" si="6"/>
        <v>0</v>
      </c>
      <c r="BO25" s="397">
        <f t="shared" si="7"/>
        <v>0</v>
      </c>
      <c r="BP25" s="397">
        <f t="shared" si="8"/>
        <v>0</v>
      </c>
      <c r="BQ25" s="397">
        <f t="shared" si="9"/>
        <v>0</v>
      </c>
      <c r="BR25" s="397">
        <f t="shared" si="10"/>
        <v>0</v>
      </c>
      <c r="BS25" s="397">
        <f t="shared" si="11"/>
        <v>0</v>
      </c>
      <c r="BT25" s="397">
        <f t="shared" si="12"/>
        <v>0</v>
      </c>
      <c r="BU25" s="397">
        <f t="shared" si="13"/>
        <v>0</v>
      </c>
      <c r="BV25" s="397">
        <f t="shared" si="14"/>
        <v>0</v>
      </c>
      <c r="BW25" s="397">
        <f t="shared" si="15"/>
        <v>0</v>
      </c>
      <c r="BX25" s="397">
        <f t="shared" si="16"/>
        <v>0</v>
      </c>
      <c r="BY25" s="397">
        <f t="shared" si="17"/>
        <v>0</v>
      </c>
      <c r="BZ25" s="397">
        <f t="shared" si="18"/>
        <v>0</v>
      </c>
      <c r="CA25" s="397">
        <f t="shared" si="19"/>
        <v>0</v>
      </c>
      <c r="CB25" s="397">
        <f t="shared" si="20"/>
        <v>0</v>
      </c>
      <c r="CC25" s="391">
        <v>39680</v>
      </c>
      <c r="CD25" s="397">
        <f t="shared" si="44"/>
        <v>0</v>
      </c>
      <c r="CE25" s="397">
        <f t="shared" si="45"/>
        <v>0</v>
      </c>
      <c r="CF25" s="397">
        <f t="shared" si="46"/>
        <v>0</v>
      </c>
      <c r="CG25" s="397">
        <f t="shared" si="47"/>
        <v>0</v>
      </c>
      <c r="CH25" s="397">
        <f t="shared" si="48"/>
        <v>0</v>
      </c>
      <c r="CI25" s="397">
        <f t="shared" si="49"/>
        <v>0</v>
      </c>
      <c r="CJ25" s="397" t="e">
        <f t="shared" si="50"/>
        <v>#REF!</v>
      </c>
      <c r="CK25" s="397">
        <f t="shared" si="51"/>
        <v>0</v>
      </c>
      <c r="CL25" s="397">
        <f t="shared" si="52"/>
        <v>0</v>
      </c>
      <c r="CM25" s="397">
        <f t="shared" si="53"/>
        <v>0</v>
      </c>
      <c r="CN25" s="397">
        <f t="shared" si="54"/>
        <v>0</v>
      </c>
      <c r="CO25" s="397">
        <f t="shared" si="55"/>
        <v>0</v>
      </c>
      <c r="CP25" s="397">
        <f t="shared" si="56"/>
        <v>0</v>
      </c>
      <c r="CQ25" s="397">
        <f t="shared" si="57"/>
        <v>0</v>
      </c>
      <c r="CR25" s="397">
        <f t="shared" si="58"/>
        <v>0</v>
      </c>
      <c r="CS25" s="397">
        <f t="shared" si="59"/>
        <v>0</v>
      </c>
      <c r="CT25" s="398" t="e">
        <f t="shared" si="60"/>
        <v>#REF!</v>
      </c>
      <c r="CV25" s="391">
        <v>39680</v>
      </c>
      <c r="CW25" s="399">
        <f>+CW$3-SUM(AU$4:AU25)-0.02</f>
        <v>-1.9073486328541334E-8</v>
      </c>
      <c r="CX25" s="399">
        <f>+CX$3-SUM(AV$4:AV25)</f>
        <v>0</v>
      </c>
      <c r="CY25" s="399">
        <f>+CY$3-SUM(AW$4:AW25)</f>
        <v>0</v>
      </c>
      <c r="CZ25" s="399">
        <f>+CZ$3-SUM(AX$4:AX25)</f>
        <v>1351123331.1000001</v>
      </c>
      <c r="DA25" s="399">
        <f>+DA$3-SUM(AY$4:AY25)</f>
        <v>1139656560.24</v>
      </c>
      <c r="DB25" s="399">
        <f>+DB$3-SUM(AZ$4:AZ25)</f>
        <v>547472191.47000003</v>
      </c>
      <c r="DC25" s="399" t="e">
        <f>+DC$3-SUM(BA$4:BA25)</f>
        <v>#REF!</v>
      </c>
      <c r="DD25" s="399">
        <f>+DD$3-SUM(BB$4:BB25)</f>
        <v>0</v>
      </c>
      <c r="DE25" s="399">
        <f>+DE$3-SUM(BC$4:BC25)</f>
        <v>112020391.73999999</v>
      </c>
      <c r="DF25" s="399">
        <f>+DF$3-SUM(BD$4:BD25)</f>
        <v>23000000</v>
      </c>
      <c r="DG25" s="399">
        <f>+DG$3-SUM(BE$4:BE25)</f>
        <v>0</v>
      </c>
      <c r="DH25" s="399">
        <f>+DH$3-SUM(BF$4:BF25)</f>
        <v>61041051.780000001</v>
      </c>
      <c r="DI25" s="399">
        <f>+DI$3-SUM(BG$4:BG25)</f>
        <v>56000000</v>
      </c>
      <c r="DJ25" s="399">
        <f>+DJ$3-SUM(BH$4:BH25)</f>
        <v>36902314.299999997</v>
      </c>
      <c r="DK25" s="399">
        <f>+DK$3-SUM(BI$4:BI25)</f>
        <v>141534746.44</v>
      </c>
      <c r="DL25" s="399">
        <f>+DL$3-SUM(BJ$4:BJ25)</f>
        <v>20000000</v>
      </c>
    </row>
    <row r="26" spans="1:116" s="106" customFormat="1">
      <c r="A26" s="391">
        <v>39711</v>
      </c>
      <c r="B26" s="393">
        <v>0</v>
      </c>
      <c r="C26" s="393">
        <v>0</v>
      </c>
      <c r="D26" s="393">
        <v>0</v>
      </c>
      <c r="E26" s="393">
        <v>1351123331.0937667</v>
      </c>
      <c r="F26" s="393">
        <v>1139656560.236115</v>
      </c>
      <c r="G26" s="393">
        <v>547472191.47029364</v>
      </c>
      <c r="H26" s="393">
        <v>500000000</v>
      </c>
      <c r="I26" s="393">
        <v>0</v>
      </c>
      <c r="J26" s="393">
        <v>112020391.73598069</v>
      </c>
      <c r="K26" s="393">
        <v>23000000</v>
      </c>
      <c r="L26" s="393">
        <v>0</v>
      </c>
      <c r="M26" s="393">
        <v>61041051.784276903</v>
      </c>
      <c r="N26" s="393">
        <v>56000000</v>
      </c>
      <c r="O26" s="393">
        <v>36902314.302282669</v>
      </c>
      <c r="P26" s="393">
        <v>141534746.44486183</v>
      </c>
      <c r="Q26" s="393">
        <v>20000000</v>
      </c>
      <c r="R26" s="394">
        <f t="shared" si="2"/>
        <v>3988750587.0675774</v>
      </c>
      <c r="S26" s="391">
        <v>39711</v>
      </c>
      <c r="T26" s="395">
        <f t="shared" si="23"/>
        <v>0</v>
      </c>
      <c r="U26" s="395">
        <f t="shared" si="24"/>
        <v>0</v>
      </c>
      <c r="V26" s="395">
        <f t="shared" si="25"/>
        <v>0</v>
      </c>
      <c r="W26" s="395">
        <f t="shared" si="26"/>
        <v>0</v>
      </c>
      <c r="X26" s="395">
        <f t="shared" si="27"/>
        <v>0</v>
      </c>
      <c r="Y26" s="395">
        <f t="shared" si="28"/>
        <v>0</v>
      </c>
      <c r="Z26" s="395">
        <f t="shared" si="29"/>
        <v>0</v>
      </c>
      <c r="AA26" s="395">
        <f t="shared" si="30"/>
        <v>0</v>
      </c>
      <c r="AB26" s="395">
        <f t="shared" si="31"/>
        <v>0</v>
      </c>
      <c r="AC26" s="395">
        <f t="shared" si="32"/>
        <v>0</v>
      </c>
      <c r="AD26" s="395">
        <f t="shared" si="33"/>
        <v>0</v>
      </c>
      <c r="AE26" s="395">
        <f t="shared" si="34"/>
        <v>0</v>
      </c>
      <c r="AF26" s="395">
        <f t="shared" si="35"/>
        <v>0</v>
      </c>
      <c r="AG26" s="395">
        <f t="shared" si="36"/>
        <v>0</v>
      </c>
      <c r="AH26" s="395">
        <f t="shared" si="37"/>
        <v>0</v>
      </c>
      <c r="AI26" s="395">
        <f t="shared" si="38"/>
        <v>0</v>
      </c>
      <c r="AJ26" s="395">
        <f t="shared" si="39"/>
        <v>0</v>
      </c>
      <c r="AK26" s="396"/>
      <c r="AL26" s="391">
        <v>39711</v>
      </c>
      <c r="AM26" s="397">
        <f t="shared" si="40"/>
        <v>3538252082.8001752</v>
      </c>
      <c r="AN26" s="397">
        <f t="shared" si="41"/>
        <v>135020391.73598069</v>
      </c>
      <c r="AO26" s="397">
        <f t="shared" si="42"/>
        <v>117041051.7842769</v>
      </c>
      <c r="AP26" s="397">
        <f t="shared" si="43"/>
        <v>198437060.74714449</v>
      </c>
      <c r="AQ26" s="397">
        <f t="shared" si="4"/>
        <v>3988750587.0675774</v>
      </c>
      <c r="AR26" s="353"/>
      <c r="AT26" s="391">
        <v>39711</v>
      </c>
      <c r="AU26" s="63">
        <v>0</v>
      </c>
      <c r="AV26" s="63">
        <v>0</v>
      </c>
      <c r="AW26" s="63">
        <v>0</v>
      </c>
      <c r="AX26" s="63">
        <v>0</v>
      </c>
      <c r="AY26" s="63">
        <v>0</v>
      </c>
      <c r="AZ26" s="63">
        <v>0</v>
      </c>
      <c r="BA26" s="63">
        <v>0</v>
      </c>
      <c r="BB26" s="63">
        <v>0</v>
      </c>
      <c r="BC26" s="63">
        <v>0</v>
      </c>
      <c r="BD26" s="63">
        <v>0</v>
      </c>
      <c r="BE26" s="63">
        <v>0</v>
      </c>
      <c r="BF26" s="63">
        <v>0</v>
      </c>
      <c r="BG26" s="63">
        <v>0</v>
      </c>
      <c r="BH26" s="63">
        <v>0</v>
      </c>
      <c r="BI26" s="63">
        <v>0</v>
      </c>
      <c r="BJ26" s="63">
        <v>0</v>
      </c>
      <c r="BL26" s="391">
        <v>39711</v>
      </c>
      <c r="BM26" s="397">
        <f t="shared" si="5"/>
        <v>0</v>
      </c>
      <c r="BN26" s="397">
        <f t="shared" si="6"/>
        <v>0</v>
      </c>
      <c r="BO26" s="397">
        <f t="shared" si="7"/>
        <v>0</v>
      </c>
      <c r="BP26" s="397">
        <f t="shared" si="8"/>
        <v>0</v>
      </c>
      <c r="BQ26" s="397">
        <f t="shared" si="9"/>
        <v>0</v>
      </c>
      <c r="BR26" s="397">
        <f t="shared" si="10"/>
        <v>0</v>
      </c>
      <c r="BS26" s="397">
        <f t="shared" si="11"/>
        <v>0</v>
      </c>
      <c r="BT26" s="397">
        <f t="shared" si="12"/>
        <v>0</v>
      </c>
      <c r="BU26" s="397">
        <f t="shared" si="13"/>
        <v>0</v>
      </c>
      <c r="BV26" s="397">
        <f t="shared" si="14"/>
        <v>0</v>
      </c>
      <c r="BW26" s="397">
        <f t="shared" si="15"/>
        <v>0</v>
      </c>
      <c r="BX26" s="397">
        <f t="shared" si="16"/>
        <v>0</v>
      </c>
      <c r="BY26" s="397">
        <f t="shared" si="17"/>
        <v>0</v>
      </c>
      <c r="BZ26" s="397">
        <f t="shared" si="18"/>
        <v>0</v>
      </c>
      <c r="CA26" s="397">
        <f t="shared" si="19"/>
        <v>0</v>
      </c>
      <c r="CB26" s="397">
        <f t="shared" si="20"/>
        <v>0</v>
      </c>
      <c r="CC26" s="391">
        <v>39711</v>
      </c>
      <c r="CD26" s="397">
        <f t="shared" si="44"/>
        <v>0</v>
      </c>
      <c r="CE26" s="397">
        <f t="shared" si="45"/>
        <v>0</v>
      </c>
      <c r="CF26" s="397">
        <f t="shared" si="46"/>
        <v>0</v>
      </c>
      <c r="CG26" s="397">
        <f t="shared" si="47"/>
        <v>0</v>
      </c>
      <c r="CH26" s="397">
        <f t="shared" si="48"/>
        <v>0</v>
      </c>
      <c r="CI26" s="397">
        <f t="shared" si="49"/>
        <v>0</v>
      </c>
      <c r="CJ26" s="397" t="e">
        <f t="shared" si="50"/>
        <v>#REF!</v>
      </c>
      <c r="CK26" s="397">
        <f t="shared" si="51"/>
        <v>0</v>
      </c>
      <c r="CL26" s="397">
        <f t="shared" si="52"/>
        <v>0</v>
      </c>
      <c r="CM26" s="397">
        <f t="shared" si="53"/>
        <v>0</v>
      </c>
      <c r="CN26" s="397">
        <f t="shared" si="54"/>
        <v>0</v>
      </c>
      <c r="CO26" s="397">
        <f t="shared" si="55"/>
        <v>0</v>
      </c>
      <c r="CP26" s="397">
        <f t="shared" si="56"/>
        <v>0</v>
      </c>
      <c r="CQ26" s="397">
        <f t="shared" si="57"/>
        <v>0</v>
      </c>
      <c r="CR26" s="397">
        <f t="shared" si="58"/>
        <v>0</v>
      </c>
      <c r="CS26" s="397">
        <f t="shared" si="59"/>
        <v>0</v>
      </c>
      <c r="CT26" s="398" t="e">
        <f t="shared" si="60"/>
        <v>#REF!</v>
      </c>
      <c r="CV26" s="391">
        <v>39711</v>
      </c>
      <c r="CW26" s="399">
        <f>+CW$3-SUM(AU$4:AU26)-0.02</f>
        <v>-1.9073486328541334E-8</v>
      </c>
      <c r="CX26" s="399">
        <f>+CX$3-SUM(AV$4:AV26)</f>
        <v>0</v>
      </c>
      <c r="CY26" s="399">
        <f>+CY$3-SUM(AW$4:AW26)</f>
        <v>0</v>
      </c>
      <c r="CZ26" s="399">
        <f>+CZ$3-SUM(AX$4:AX26)</f>
        <v>1351123331.1000001</v>
      </c>
      <c r="DA26" s="399">
        <f>+DA$3-SUM(AY$4:AY26)</f>
        <v>1139656560.24</v>
      </c>
      <c r="DB26" s="399">
        <f>+DB$3-SUM(AZ$4:AZ26)</f>
        <v>547472191.47000003</v>
      </c>
      <c r="DC26" s="399" t="e">
        <f>+DC$3-SUM(BA$4:BA26)</f>
        <v>#REF!</v>
      </c>
      <c r="DD26" s="399">
        <f>+DD$3-SUM(BB$4:BB26)</f>
        <v>0</v>
      </c>
      <c r="DE26" s="399">
        <f>+DE$3-SUM(BC$4:BC26)</f>
        <v>112020391.73999999</v>
      </c>
      <c r="DF26" s="399">
        <f>+DF$3-SUM(BD$4:BD26)</f>
        <v>23000000</v>
      </c>
      <c r="DG26" s="399">
        <f>+DG$3-SUM(BE$4:BE26)</f>
        <v>0</v>
      </c>
      <c r="DH26" s="399">
        <f>+DH$3-SUM(BF$4:BF26)</f>
        <v>61041051.780000001</v>
      </c>
      <c r="DI26" s="399">
        <f>+DI$3-SUM(BG$4:BG26)</f>
        <v>56000000</v>
      </c>
      <c r="DJ26" s="399">
        <f>+DJ$3-SUM(BH$4:BH26)</f>
        <v>36902314.299999997</v>
      </c>
      <c r="DK26" s="399">
        <f>+DK$3-SUM(BI$4:BI26)</f>
        <v>141534746.44</v>
      </c>
      <c r="DL26" s="399">
        <f>+DL$3-SUM(BJ$4:BJ26)</f>
        <v>20000000</v>
      </c>
    </row>
    <row r="27" spans="1:116" s="106" customFormat="1">
      <c r="A27" s="391">
        <v>39741</v>
      </c>
      <c r="B27" s="393">
        <v>0</v>
      </c>
      <c r="C27" s="393">
        <v>0</v>
      </c>
      <c r="D27" s="393">
        <v>0</v>
      </c>
      <c r="E27" s="393">
        <v>1351123331.0937667</v>
      </c>
      <c r="F27" s="393">
        <v>1139656560.236115</v>
      </c>
      <c r="G27" s="393">
        <v>547472191.47029364</v>
      </c>
      <c r="H27" s="393">
        <v>500000000</v>
      </c>
      <c r="I27" s="393">
        <v>0</v>
      </c>
      <c r="J27" s="393">
        <v>112020391.73598069</v>
      </c>
      <c r="K27" s="393">
        <v>23000000</v>
      </c>
      <c r="L27" s="393">
        <v>0</v>
      </c>
      <c r="M27" s="393">
        <v>61041051.784276903</v>
      </c>
      <c r="N27" s="393">
        <v>56000000</v>
      </c>
      <c r="O27" s="393">
        <v>36902314.302282669</v>
      </c>
      <c r="P27" s="393">
        <v>141534746.44486183</v>
      </c>
      <c r="Q27" s="393">
        <v>20000000</v>
      </c>
      <c r="R27" s="394">
        <f t="shared" si="2"/>
        <v>3988750587.0675774</v>
      </c>
      <c r="S27" s="391">
        <v>39741</v>
      </c>
      <c r="T27" s="395">
        <f t="shared" si="23"/>
        <v>0</v>
      </c>
      <c r="U27" s="395">
        <f t="shared" si="24"/>
        <v>0</v>
      </c>
      <c r="V27" s="395">
        <f t="shared" si="25"/>
        <v>0</v>
      </c>
      <c r="W27" s="395">
        <f t="shared" si="26"/>
        <v>0</v>
      </c>
      <c r="X27" s="395">
        <f t="shared" si="27"/>
        <v>0</v>
      </c>
      <c r="Y27" s="395">
        <f t="shared" si="28"/>
        <v>0</v>
      </c>
      <c r="Z27" s="395">
        <f t="shared" si="29"/>
        <v>0</v>
      </c>
      <c r="AA27" s="395">
        <f t="shared" si="30"/>
        <v>0</v>
      </c>
      <c r="AB27" s="395">
        <f t="shared" si="31"/>
        <v>0</v>
      </c>
      <c r="AC27" s="395">
        <f t="shared" si="32"/>
        <v>0</v>
      </c>
      <c r="AD27" s="395">
        <f t="shared" si="33"/>
        <v>0</v>
      </c>
      <c r="AE27" s="395">
        <f t="shared" si="34"/>
        <v>0</v>
      </c>
      <c r="AF27" s="395">
        <f t="shared" si="35"/>
        <v>0</v>
      </c>
      <c r="AG27" s="395">
        <f t="shared" si="36"/>
        <v>0</v>
      </c>
      <c r="AH27" s="395">
        <f t="shared" si="37"/>
        <v>0</v>
      </c>
      <c r="AI27" s="395">
        <f t="shared" si="38"/>
        <v>0</v>
      </c>
      <c r="AJ27" s="395">
        <f t="shared" si="39"/>
        <v>0</v>
      </c>
      <c r="AK27" s="396"/>
      <c r="AL27" s="391">
        <v>39741</v>
      </c>
      <c r="AM27" s="397">
        <f t="shared" si="40"/>
        <v>3538252082.8001752</v>
      </c>
      <c r="AN27" s="397">
        <f t="shared" si="41"/>
        <v>135020391.73598069</v>
      </c>
      <c r="AO27" s="397">
        <f t="shared" si="42"/>
        <v>117041051.7842769</v>
      </c>
      <c r="AP27" s="397">
        <f t="shared" si="43"/>
        <v>198437060.74714449</v>
      </c>
      <c r="AQ27" s="397">
        <f t="shared" si="4"/>
        <v>3988750587.0675774</v>
      </c>
      <c r="AR27" s="353"/>
      <c r="AT27" s="391">
        <v>39741</v>
      </c>
      <c r="AU27" s="63">
        <v>0</v>
      </c>
      <c r="AV27" s="63">
        <v>0</v>
      </c>
      <c r="AW27" s="63">
        <v>0</v>
      </c>
      <c r="AX27" s="63">
        <v>0</v>
      </c>
      <c r="AY27" s="63">
        <v>0</v>
      </c>
      <c r="AZ27" s="63">
        <v>0</v>
      </c>
      <c r="BA27" s="63">
        <v>0</v>
      </c>
      <c r="BB27" s="63">
        <v>0</v>
      </c>
      <c r="BC27" s="63">
        <v>0</v>
      </c>
      <c r="BD27" s="63">
        <v>0</v>
      </c>
      <c r="BE27" s="63">
        <v>0</v>
      </c>
      <c r="BF27" s="63">
        <v>0</v>
      </c>
      <c r="BG27" s="63">
        <v>0</v>
      </c>
      <c r="BH27" s="63">
        <v>0</v>
      </c>
      <c r="BI27" s="63">
        <v>0</v>
      </c>
      <c r="BJ27" s="63">
        <v>0</v>
      </c>
      <c r="BL27" s="391">
        <v>39741</v>
      </c>
      <c r="BM27" s="397">
        <f t="shared" si="5"/>
        <v>0</v>
      </c>
      <c r="BN27" s="397">
        <f t="shared" si="6"/>
        <v>0</v>
      </c>
      <c r="BO27" s="397">
        <f t="shared" si="7"/>
        <v>0</v>
      </c>
      <c r="BP27" s="397">
        <f t="shared" si="8"/>
        <v>0</v>
      </c>
      <c r="BQ27" s="397">
        <f t="shared" si="9"/>
        <v>0</v>
      </c>
      <c r="BR27" s="397">
        <f t="shared" si="10"/>
        <v>0</v>
      </c>
      <c r="BS27" s="397">
        <f t="shared" si="11"/>
        <v>0</v>
      </c>
      <c r="BT27" s="397">
        <f t="shared" si="12"/>
        <v>0</v>
      </c>
      <c r="BU27" s="397">
        <f t="shared" si="13"/>
        <v>0</v>
      </c>
      <c r="BV27" s="397">
        <f t="shared" si="14"/>
        <v>0</v>
      </c>
      <c r="BW27" s="397">
        <f t="shared" si="15"/>
        <v>0</v>
      </c>
      <c r="BX27" s="397">
        <f t="shared" si="16"/>
        <v>0</v>
      </c>
      <c r="BY27" s="397">
        <f t="shared" si="17"/>
        <v>0</v>
      </c>
      <c r="BZ27" s="397">
        <f t="shared" si="18"/>
        <v>0</v>
      </c>
      <c r="CA27" s="397">
        <f t="shared" si="19"/>
        <v>0</v>
      </c>
      <c r="CB27" s="397">
        <f t="shared" si="20"/>
        <v>0</v>
      </c>
      <c r="CC27" s="391">
        <v>39741</v>
      </c>
      <c r="CD27" s="397">
        <f t="shared" si="44"/>
        <v>0</v>
      </c>
      <c r="CE27" s="397">
        <f t="shared" si="45"/>
        <v>0</v>
      </c>
      <c r="CF27" s="397">
        <f t="shared" si="46"/>
        <v>0</v>
      </c>
      <c r="CG27" s="397">
        <f t="shared" si="47"/>
        <v>0</v>
      </c>
      <c r="CH27" s="397">
        <f t="shared" si="48"/>
        <v>0</v>
      </c>
      <c r="CI27" s="397">
        <f t="shared" si="49"/>
        <v>0</v>
      </c>
      <c r="CJ27" s="397" t="e">
        <f t="shared" si="50"/>
        <v>#REF!</v>
      </c>
      <c r="CK27" s="397">
        <f t="shared" si="51"/>
        <v>0</v>
      </c>
      <c r="CL27" s="397">
        <f t="shared" si="52"/>
        <v>0</v>
      </c>
      <c r="CM27" s="397">
        <f t="shared" si="53"/>
        <v>0</v>
      </c>
      <c r="CN27" s="397">
        <f t="shared" si="54"/>
        <v>0</v>
      </c>
      <c r="CO27" s="397">
        <f t="shared" si="55"/>
        <v>0</v>
      </c>
      <c r="CP27" s="397">
        <f t="shared" si="56"/>
        <v>0</v>
      </c>
      <c r="CQ27" s="397">
        <f t="shared" si="57"/>
        <v>0</v>
      </c>
      <c r="CR27" s="397">
        <f t="shared" si="58"/>
        <v>0</v>
      </c>
      <c r="CS27" s="397">
        <f t="shared" si="59"/>
        <v>0</v>
      </c>
      <c r="CT27" s="398" t="e">
        <f t="shared" si="60"/>
        <v>#REF!</v>
      </c>
      <c r="CV27" s="391">
        <v>39741</v>
      </c>
      <c r="CW27" s="399">
        <f>+CW$3-SUM(AU$4:AU27)-0.02</f>
        <v>-1.9073486328541334E-8</v>
      </c>
      <c r="CX27" s="399">
        <f>+CX$3-SUM(AV$4:AV27)</f>
        <v>0</v>
      </c>
      <c r="CY27" s="399">
        <f>+CY$3-SUM(AW$4:AW27)</f>
        <v>0</v>
      </c>
      <c r="CZ27" s="399">
        <f>+CZ$3-SUM(AX$4:AX27)</f>
        <v>1351123331.1000001</v>
      </c>
      <c r="DA27" s="399">
        <f>+DA$3-SUM(AY$4:AY27)</f>
        <v>1139656560.24</v>
      </c>
      <c r="DB27" s="399">
        <f>+DB$3-SUM(AZ$4:AZ27)</f>
        <v>547472191.47000003</v>
      </c>
      <c r="DC27" s="399" t="e">
        <f>+DC$3-SUM(BA$4:BA27)</f>
        <v>#REF!</v>
      </c>
      <c r="DD27" s="399">
        <f>+DD$3-SUM(BB$4:BB27)</f>
        <v>0</v>
      </c>
      <c r="DE27" s="399">
        <f>+DE$3-SUM(BC$4:BC27)</f>
        <v>112020391.73999999</v>
      </c>
      <c r="DF27" s="399">
        <f>+DF$3-SUM(BD$4:BD27)</f>
        <v>23000000</v>
      </c>
      <c r="DG27" s="399">
        <f>+DG$3-SUM(BE$4:BE27)</f>
        <v>0</v>
      </c>
      <c r="DH27" s="399">
        <f>+DH$3-SUM(BF$4:BF27)</f>
        <v>61041051.780000001</v>
      </c>
      <c r="DI27" s="399">
        <f>+DI$3-SUM(BG$4:BG27)</f>
        <v>56000000</v>
      </c>
      <c r="DJ27" s="399">
        <f>+DJ$3-SUM(BH$4:BH27)</f>
        <v>36902314.299999997</v>
      </c>
      <c r="DK27" s="399">
        <f>+DK$3-SUM(BI$4:BI27)</f>
        <v>141534746.44</v>
      </c>
      <c r="DL27" s="399">
        <f>+DL$3-SUM(BJ$4:BJ27)</f>
        <v>20000000</v>
      </c>
    </row>
    <row r="28" spans="1:116" s="106" customFormat="1">
      <c r="A28" s="391">
        <v>39772</v>
      </c>
      <c r="B28" s="393">
        <v>0</v>
      </c>
      <c r="C28" s="393">
        <v>0</v>
      </c>
      <c r="D28" s="393">
        <v>0</v>
      </c>
      <c r="E28" s="393">
        <v>1134552272.3705487</v>
      </c>
      <c r="F28" s="393">
        <v>1139656560.236115</v>
      </c>
      <c r="G28" s="393">
        <v>547472191.47029364</v>
      </c>
      <c r="H28" s="393">
        <v>500000000</v>
      </c>
      <c r="I28" s="393">
        <v>0</v>
      </c>
      <c r="J28" s="393">
        <v>112020391.73598069</v>
      </c>
      <c r="K28" s="393">
        <v>23000000</v>
      </c>
      <c r="L28" s="393">
        <v>0</v>
      </c>
      <c r="M28" s="393">
        <v>61041051.784276903</v>
      </c>
      <c r="N28" s="393">
        <v>56000000</v>
      </c>
      <c r="O28" s="393">
        <v>36902314.302282669</v>
      </c>
      <c r="P28" s="393">
        <v>141534746.44486183</v>
      </c>
      <c r="Q28" s="393">
        <v>20000000</v>
      </c>
      <c r="R28" s="394">
        <f t="shared" si="2"/>
        <v>3772179528.3443594</v>
      </c>
      <c r="S28" s="391">
        <v>39772</v>
      </c>
      <c r="T28" s="395">
        <f t="shared" si="23"/>
        <v>0</v>
      </c>
      <c r="U28" s="395">
        <f t="shared" si="24"/>
        <v>0</v>
      </c>
      <c r="V28" s="395">
        <f t="shared" si="25"/>
        <v>0</v>
      </c>
      <c r="W28" s="395">
        <f t="shared" si="26"/>
        <v>216571058.72</v>
      </c>
      <c r="X28" s="395">
        <f t="shared" si="27"/>
        <v>0</v>
      </c>
      <c r="Y28" s="395">
        <f t="shared" si="28"/>
        <v>0</v>
      </c>
      <c r="Z28" s="395">
        <f t="shared" si="29"/>
        <v>0</v>
      </c>
      <c r="AA28" s="395">
        <f t="shared" si="30"/>
        <v>0</v>
      </c>
      <c r="AB28" s="395">
        <f t="shared" si="31"/>
        <v>0</v>
      </c>
      <c r="AC28" s="395">
        <f t="shared" si="32"/>
        <v>0</v>
      </c>
      <c r="AD28" s="395">
        <f t="shared" si="33"/>
        <v>0</v>
      </c>
      <c r="AE28" s="395">
        <f t="shared" si="34"/>
        <v>0</v>
      </c>
      <c r="AF28" s="395">
        <f t="shared" si="35"/>
        <v>0</v>
      </c>
      <c r="AG28" s="395">
        <f t="shared" si="36"/>
        <v>0</v>
      </c>
      <c r="AH28" s="395">
        <f t="shared" si="37"/>
        <v>0</v>
      </c>
      <c r="AI28" s="395">
        <f t="shared" si="38"/>
        <v>0</v>
      </c>
      <c r="AJ28" s="395">
        <f t="shared" si="39"/>
        <v>216571058.72</v>
      </c>
      <c r="AK28" s="396"/>
      <c r="AL28" s="391">
        <v>39772</v>
      </c>
      <c r="AM28" s="397">
        <f t="shared" si="40"/>
        <v>3321681024.0769572</v>
      </c>
      <c r="AN28" s="397">
        <f t="shared" si="41"/>
        <v>135020391.73598069</v>
      </c>
      <c r="AO28" s="397">
        <f t="shared" si="42"/>
        <v>117041051.7842769</v>
      </c>
      <c r="AP28" s="397">
        <f t="shared" si="43"/>
        <v>198437060.74714449</v>
      </c>
      <c r="AQ28" s="397">
        <f t="shared" si="4"/>
        <v>3772179528.3443594</v>
      </c>
      <c r="AR28" s="353"/>
      <c r="AT28" s="391">
        <v>39772</v>
      </c>
      <c r="AU28" s="85">
        <v>0</v>
      </c>
      <c r="AV28" s="85">
        <v>0</v>
      </c>
      <c r="AW28" s="85">
        <v>0</v>
      </c>
      <c r="AX28" s="85">
        <v>216571058.72</v>
      </c>
      <c r="AY28" s="85">
        <v>0</v>
      </c>
      <c r="AZ28" s="85">
        <v>0</v>
      </c>
      <c r="BA28" s="85">
        <v>0</v>
      </c>
      <c r="BB28" s="85">
        <v>0</v>
      </c>
      <c r="BC28" s="85">
        <v>0</v>
      </c>
      <c r="BD28" s="85">
        <v>0</v>
      </c>
      <c r="BE28" s="85">
        <v>0</v>
      </c>
      <c r="BF28" s="85">
        <v>0</v>
      </c>
      <c r="BG28" s="85">
        <v>0</v>
      </c>
      <c r="BH28" s="85">
        <v>0</v>
      </c>
      <c r="BI28" s="85">
        <v>0</v>
      </c>
      <c r="BJ28" s="85">
        <v>0</v>
      </c>
      <c r="BL28" s="391">
        <v>39772</v>
      </c>
      <c r="BM28" s="397">
        <f t="shared" si="5"/>
        <v>0</v>
      </c>
      <c r="BN28" s="397">
        <f t="shared" si="6"/>
        <v>0</v>
      </c>
      <c r="BO28" s="397">
        <f t="shared" si="7"/>
        <v>0</v>
      </c>
      <c r="BP28" s="397">
        <f t="shared" si="8"/>
        <v>0</v>
      </c>
      <c r="BQ28" s="397">
        <f t="shared" si="9"/>
        <v>0</v>
      </c>
      <c r="BR28" s="397">
        <f t="shared" si="10"/>
        <v>0</v>
      </c>
      <c r="BS28" s="397">
        <f t="shared" si="11"/>
        <v>0</v>
      </c>
      <c r="BT28" s="397">
        <f t="shared" si="12"/>
        <v>0</v>
      </c>
      <c r="BU28" s="397">
        <f t="shared" si="13"/>
        <v>0</v>
      </c>
      <c r="BV28" s="397">
        <f t="shared" si="14"/>
        <v>0</v>
      </c>
      <c r="BW28" s="397">
        <f t="shared" si="15"/>
        <v>0</v>
      </c>
      <c r="BX28" s="397">
        <f t="shared" si="16"/>
        <v>0</v>
      </c>
      <c r="BY28" s="397">
        <f t="shared" si="17"/>
        <v>0</v>
      </c>
      <c r="BZ28" s="397">
        <f t="shared" si="18"/>
        <v>0</v>
      </c>
      <c r="CA28" s="397">
        <f t="shared" si="19"/>
        <v>0</v>
      </c>
      <c r="CB28" s="397">
        <f t="shared" si="20"/>
        <v>0</v>
      </c>
      <c r="CC28" s="391">
        <v>39772</v>
      </c>
      <c r="CD28" s="397">
        <f t="shared" si="44"/>
        <v>0</v>
      </c>
      <c r="CE28" s="397">
        <f t="shared" si="45"/>
        <v>0</v>
      </c>
      <c r="CF28" s="397">
        <f t="shared" si="46"/>
        <v>0</v>
      </c>
      <c r="CG28" s="397">
        <f t="shared" si="47"/>
        <v>0</v>
      </c>
      <c r="CH28" s="397">
        <f t="shared" si="48"/>
        <v>0</v>
      </c>
      <c r="CI28" s="397">
        <f t="shared" si="49"/>
        <v>0</v>
      </c>
      <c r="CJ28" s="397" t="e">
        <f t="shared" si="50"/>
        <v>#REF!</v>
      </c>
      <c r="CK28" s="397">
        <f t="shared" si="51"/>
        <v>0</v>
      </c>
      <c r="CL28" s="397">
        <f t="shared" si="52"/>
        <v>0</v>
      </c>
      <c r="CM28" s="397">
        <f t="shared" si="53"/>
        <v>0</v>
      </c>
      <c r="CN28" s="397">
        <f t="shared" si="54"/>
        <v>0</v>
      </c>
      <c r="CO28" s="397">
        <f t="shared" si="55"/>
        <v>0</v>
      </c>
      <c r="CP28" s="397">
        <f t="shared" si="56"/>
        <v>0</v>
      </c>
      <c r="CQ28" s="397">
        <f t="shared" si="57"/>
        <v>0</v>
      </c>
      <c r="CR28" s="397">
        <f t="shared" si="58"/>
        <v>0</v>
      </c>
      <c r="CS28" s="397">
        <f t="shared" si="59"/>
        <v>0</v>
      </c>
      <c r="CT28" s="398" t="e">
        <f t="shared" si="60"/>
        <v>#REF!</v>
      </c>
      <c r="CV28" s="391">
        <v>39772</v>
      </c>
      <c r="CW28" s="399">
        <f>+CW$3-SUM(AU$4:AU28)-0.02</f>
        <v>-1.9073486328541334E-8</v>
      </c>
      <c r="CX28" s="399">
        <f>+CX$3-SUM(AV$4:AV28)</f>
        <v>0</v>
      </c>
      <c r="CY28" s="399">
        <f>+CY$3-SUM(AW$4:AW28)</f>
        <v>0</v>
      </c>
      <c r="CZ28" s="399">
        <f>+CZ$3-SUM(AX$4:AX28)</f>
        <v>1134552272.3800001</v>
      </c>
      <c r="DA28" s="399">
        <f>+DA$3-SUM(AY$4:AY28)</f>
        <v>1139656560.24</v>
      </c>
      <c r="DB28" s="399">
        <f>+DB$3-SUM(AZ$4:AZ28)</f>
        <v>547472191.47000003</v>
      </c>
      <c r="DC28" s="399" t="e">
        <f>+DC$3-SUM(BA$4:BA28)</f>
        <v>#REF!</v>
      </c>
      <c r="DD28" s="399">
        <f>+DD$3-SUM(BB$4:BB28)</f>
        <v>0</v>
      </c>
      <c r="DE28" s="399">
        <f>+DE$3-SUM(BC$4:BC28)</f>
        <v>112020391.73999999</v>
      </c>
      <c r="DF28" s="399">
        <f>+DF$3-SUM(BD$4:BD28)</f>
        <v>23000000</v>
      </c>
      <c r="DG28" s="399">
        <f>+DG$3-SUM(BE$4:BE28)</f>
        <v>0</v>
      </c>
      <c r="DH28" s="399">
        <f>+DH$3-SUM(BF$4:BF28)</f>
        <v>61041051.780000001</v>
      </c>
      <c r="DI28" s="399">
        <f>+DI$3-SUM(BG$4:BG28)</f>
        <v>56000000</v>
      </c>
      <c r="DJ28" s="399">
        <f>+DJ$3-SUM(BH$4:BH28)</f>
        <v>36902314.299999997</v>
      </c>
      <c r="DK28" s="399">
        <f>+DK$3-SUM(BI$4:BI28)</f>
        <v>141534746.44</v>
      </c>
      <c r="DL28" s="399">
        <f>+DL$3-SUM(BJ$4:BJ28)</f>
        <v>20000000</v>
      </c>
    </row>
    <row r="29" spans="1:116" s="106" customFormat="1">
      <c r="A29" s="391">
        <v>39802</v>
      </c>
      <c r="B29" s="393">
        <v>0</v>
      </c>
      <c r="C29" s="393">
        <v>0</v>
      </c>
      <c r="D29" s="393">
        <v>0</v>
      </c>
      <c r="E29" s="393">
        <v>1134552272.3705487</v>
      </c>
      <c r="F29" s="393">
        <v>1139656560.236115</v>
      </c>
      <c r="G29" s="393">
        <v>547472191.47029364</v>
      </c>
      <c r="H29" s="393">
        <v>500000000</v>
      </c>
      <c r="I29" s="393">
        <v>0</v>
      </c>
      <c r="J29" s="393">
        <v>112020391.73598069</v>
      </c>
      <c r="K29" s="393">
        <v>23000000</v>
      </c>
      <c r="L29" s="393">
        <v>0</v>
      </c>
      <c r="M29" s="393">
        <v>61041051.784276903</v>
      </c>
      <c r="N29" s="393">
        <v>56000000</v>
      </c>
      <c r="O29" s="393">
        <v>36902314.302282669</v>
      </c>
      <c r="P29" s="393">
        <v>141534746.44486183</v>
      </c>
      <c r="Q29" s="393">
        <v>20000000</v>
      </c>
      <c r="R29" s="394">
        <f t="shared" si="2"/>
        <v>3772179528.3443594</v>
      </c>
      <c r="S29" s="391">
        <v>39802</v>
      </c>
      <c r="T29" s="395">
        <f t="shared" si="23"/>
        <v>0</v>
      </c>
      <c r="U29" s="395">
        <f t="shared" si="24"/>
        <v>0</v>
      </c>
      <c r="V29" s="395">
        <f t="shared" si="25"/>
        <v>0</v>
      </c>
      <c r="W29" s="395">
        <f t="shared" si="26"/>
        <v>0</v>
      </c>
      <c r="X29" s="395">
        <f t="shared" si="27"/>
        <v>0</v>
      </c>
      <c r="Y29" s="395">
        <f t="shared" si="28"/>
        <v>0</v>
      </c>
      <c r="Z29" s="395">
        <f t="shared" si="29"/>
        <v>0</v>
      </c>
      <c r="AA29" s="395">
        <f t="shared" si="30"/>
        <v>0</v>
      </c>
      <c r="AB29" s="395">
        <f t="shared" si="31"/>
        <v>0</v>
      </c>
      <c r="AC29" s="395">
        <f t="shared" si="32"/>
        <v>0</v>
      </c>
      <c r="AD29" s="395">
        <f t="shared" si="33"/>
        <v>0</v>
      </c>
      <c r="AE29" s="395">
        <f t="shared" si="34"/>
        <v>0</v>
      </c>
      <c r="AF29" s="395">
        <f t="shared" si="35"/>
        <v>0</v>
      </c>
      <c r="AG29" s="395">
        <f t="shared" si="36"/>
        <v>0</v>
      </c>
      <c r="AH29" s="395">
        <f t="shared" si="37"/>
        <v>0</v>
      </c>
      <c r="AI29" s="395">
        <f t="shared" si="38"/>
        <v>0</v>
      </c>
      <c r="AJ29" s="395">
        <f t="shared" si="39"/>
        <v>0</v>
      </c>
      <c r="AK29" s="396"/>
      <c r="AL29" s="391">
        <v>39802</v>
      </c>
      <c r="AM29" s="397">
        <f t="shared" si="40"/>
        <v>3321681024.0769572</v>
      </c>
      <c r="AN29" s="397">
        <f t="shared" si="41"/>
        <v>135020391.73598069</v>
      </c>
      <c r="AO29" s="397">
        <f t="shared" si="42"/>
        <v>117041051.7842769</v>
      </c>
      <c r="AP29" s="397">
        <f t="shared" si="43"/>
        <v>198437060.74714449</v>
      </c>
      <c r="AQ29" s="397">
        <f t="shared" si="4"/>
        <v>3772179528.3443594</v>
      </c>
      <c r="AR29" s="353"/>
      <c r="AT29" s="391">
        <v>39802</v>
      </c>
      <c r="AU29" s="63">
        <v>0</v>
      </c>
      <c r="AV29" s="63">
        <v>0</v>
      </c>
      <c r="AW29" s="63">
        <v>0</v>
      </c>
      <c r="AX29" s="63">
        <v>0</v>
      </c>
      <c r="AY29" s="63">
        <v>0</v>
      </c>
      <c r="AZ29" s="63">
        <v>0</v>
      </c>
      <c r="BA29" s="63">
        <v>0</v>
      </c>
      <c r="BB29" s="63">
        <v>0</v>
      </c>
      <c r="BC29" s="63">
        <v>0</v>
      </c>
      <c r="BD29" s="63">
        <v>0</v>
      </c>
      <c r="BE29" s="63">
        <v>0</v>
      </c>
      <c r="BF29" s="63">
        <v>0</v>
      </c>
      <c r="BG29" s="63">
        <v>0</v>
      </c>
      <c r="BH29" s="63">
        <v>0</v>
      </c>
      <c r="BI29" s="63">
        <v>0</v>
      </c>
      <c r="BJ29" s="63">
        <v>0</v>
      </c>
      <c r="BL29" s="391">
        <v>39802</v>
      </c>
      <c r="BM29" s="397">
        <f t="shared" si="5"/>
        <v>0</v>
      </c>
      <c r="BN29" s="397">
        <f t="shared" si="6"/>
        <v>0</v>
      </c>
      <c r="BO29" s="397">
        <f t="shared" si="7"/>
        <v>0</v>
      </c>
      <c r="BP29" s="397">
        <f t="shared" si="8"/>
        <v>0</v>
      </c>
      <c r="BQ29" s="397">
        <f t="shared" si="9"/>
        <v>0</v>
      </c>
      <c r="BR29" s="397">
        <f t="shared" si="10"/>
        <v>0</v>
      </c>
      <c r="BS29" s="397">
        <f t="shared" si="11"/>
        <v>0</v>
      </c>
      <c r="BT29" s="397">
        <f t="shared" si="12"/>
        <v>0</v>
      </c>
      <c r="BU29" s="397">
        <f t="shared" si="13"/>
        <v>0</v>
      </c>
      <c r="BV29" s="397">
        <f t="shared" si="14"/>
        <v>0</v>
      </c>
      <c r="BW29" s="397">
        <f t="shared" si="15"/>
        <v>0</v>
      </c>
      <c r="BX29" s="397">
        <f t="shared" si="16"/>
        <v>0</v>
      </c>
      <c r="BY29" s="397">
        <f t="shared" si="17"/>
        <v>0</v>
      </c>
      <c r="BZ29" s="397">
        <f t="shared" si="18"/>
        <v>0</v>
      </c>
      <c r="CA29" s="397">
        <f t="shared" si="19"/>
        <v>0</v>
      </c>
      <c r="CB29" s="397">
        <f t="shared" si="20"/>
        <v>0</v>
      </c>
      <c r="CC29" s="391">
        <v>39802</v>
      </c>
      <c r="CD29" s="397">
        <f t="shared" si="44"/>
        <v>0</v>
      </c>
      <c r="CE29" s="397">
        <f t="shared" si="45"/>
        <v>0</v>
      </c>
      <c r="CF29" s="397">
        <f t="shared" si="46"/>
        <v>0</v>
      </c>
      <c r="CG29" s="397">
        <f t="shared" si="47"/>
        <v>0</v>
      </c>
      <c r="CH29" s="397">
        <f t="shared" si="48"/>
        <v>0</v>
      </c>
      <c r="CI29" s="397">
        <f t="shared" si="49"/>
        <v>0</v>
      </c>
      <c r="CJ29" s="397" t="e">
        <f t="shared" si="50"/>
        <v>#REF!</v>
      </c>
      <c r="CK29" s="397">
        <f t="shared" si="51"/>
        <v>0</v>
      </c>
      <c r="CL29" s="397">
        <f t="shared" si="52"/>
        <v>0</v>
      </c>
      <c r="CM29" s="397">
        <f t="shared" si="53"/>
        <v>0</v>
      </c>
      <c r="CN29" s="397">
        <f t="shared" si="54"/>
        <v>0</v>
      </c>
      <c r="CO29" s="397">
        <f t="shared" si="55"/>
        <v>0</v>
      </c>
      <c r="CP29" s="397">
        <f t="shared" si="56"/>
        <v>0</v>
      </c>
      <c r="CQ29" s="397">
        <f t="shared" si="57"/>
        <v>0</v>
      </c>
      <c r="CR29" s="397">
        <f t="shared" si="58"/>
        <v>0</v>
      </c>
      <c r="CS29" s="397">
        <f t="shared" si="59"/>
        <v>0</v>
      </c>
      <c r="CT29" s="398" t="e">
        <f t="shared" si="60"/>
        <v>#REF!</v>
      </c>
      <c r="CV29" s="391">
        <v>39802</v>
      </c>
      <c r="CW29" s="399">
        <f>+CW$3-SUM(AU$4:AU29)-0.02</f>
        <v>-1.9073486328541334E-8</v>
      </c>
      <c r="CX29" s="399">
        <f>+CX$3-SUM(AV$4:AV29)</f>
        <v>0</v>
      </c>
      <c r="CY29" s="399">
        <f>+CY$3-SUM(AW$4:AW29)</f>
        <v>0</v>
      </c>
      <c r="CZ29" s="399">
        <f>+CZ$3-SUM(AX$4:AX29)</f>
        <v>1134552272.3800001</v>
      </c>
      <c r="DA29" s="399">
        <f>+DA$3-SUM(AY$4:AY29)</f>
        <v>1139656560.24</v>
      </c>
      <c r="DB29" s="399">
        <f>+DB$3-SUM(AZ$4:AZ29)</f>
        <v>547472191.47000003</v>
      </c>
      <c r="DC29" s="399" t="e">
        <f>+DC$3-SUM(BA$4:BA29)</f>
        <v>#REF!</v>
      </c>
      <c r="DD29" s="399">
        <f>+DD$3-SUM(BB$4:BB29)</f>
        <v>0</v>
      </c>
      <c r="DE29" s="399">
        <f>+DE$3-SUM(BC$4:BC29)</f>
        <v>112020391.73999999</v>
      </c>
      <c r="DF29" s="399">
        <f>+DF$3-SUM(BD$4:BD29)</f>
        <v>23000000</v>
      </c>
      <c r="DG29" s="399">
        <f>+DG$3-SUM(BE$4:BE29)</f>
        <v>0</v>
      </c>
      <c r="DH29" s="399">
        <f>+DH$3-SUM(BF$4:BF29)</f>
        <v>61041051.780000001</v>
      </c>
      <c r="DI29" s="399">
        <f>+DI$3-SUM(BG$4:BG29)</f>
        <v>56000000</v>
      </c>
      <c r="DJ29" s="399">
        <f>+DJ$3-SUM(BH$4:BH29)</f>
        <v>36902314.299999997</v>
      </c>
      <c r="DK29" s="399">
        <f>+DK$3-SUM(BI$4:BI29)</f>
        <v>141534746.44</v>
      </c>
      <c r="DL29" s="399">
        <f>+DL$3-SUM(BJ$4:BJ29)</f>
        <v>20000000</v>
      </c>
    </row>
    <row r="30" spans="1:116" s="106" customFormat="1">
      <c r="A30" s="391">
        <v>39833</v>
      </c>
      <c r="B30" s="393">
        <v>0</v>
      </c>
      <c r="C30" s="393">
        <v>0</v>
      </c>
      <c r="D30" s="393">
        <v>0</v>
      </c>
      <c r="E30" s="393">
        <v>1134552272.3705487</v>
      </c>
      <c r="F30" s="393">
        <v>1139656560.236115</v>
      </c>
      <c r="G30" s="393">
        <v>547472191.47029364</v>
      </c>
      <c r="H30" s="393">
        <v>500000000</v>
      </c>
      <c r="I30" s="393">
        <v>0</v>
      </c>
      <c r="J30" s="393">
        <v>112020391.73598069</v>
      </c>
      <c r="K30" s="393">
        <v>23000000</v>
      </c>
      <c r="L30" s="393">
        <v>0</v>
      </c>
      <c r="M30" s="393">
        <v>61041051.784276903</v>
      </c>
      <c r="N30" s="393">
        <v>56000000</v>
      </c>
      <c r="O30" s="393">
        <v>36902314.302282669</v>
      </c>
      <c r="P30" s="393">
        <v>141534746.44486183</v>
      </c>
      <c r="Q30" s="393">
        <v>20000000</v>
      </c>
      <c r="R30" s="394">
        <f t="shared" si="2"/>
        <v>3772179528.3443594</v>
      </c>
      <c r="S30" s="391">
        <v>39833</v>
      </c>
      <c r="T30" s="395">
        <f t="shared" si="23"/>
        <v>0</v>
      </c>
      <c r="U30" s="395">
        <f t="shared" si="24"/>
        <v>0</v>
      </c>
      <c r="V30" s="395">
        <f t="shared" si="25"/>
        <v>0</v>
      </c>
      <c r="W30" s="395">
        <f t="shared" si="26"/>
        <v>0</v>
      </c>
      <c r="X30" s="395">
        <f t="shared" si="27"/>
        <v>0</v>
      </c>
      <c r="Y30" s="395">
        <f t="shared" si="28"/>
        <v>0</v>
      </c>
      <c r="Z30" s="395">
        <f t="shared" si="29"/>
        <v>0</v>
      </c>
      <c r="AA30" s="395">
        <f t="shared" si="30"/>
        <v>0</v>
      </c>
      <c r="AB30" s="395">
        <f t="shared" si="31"/>
        <v>0</v>
      </c>
      <c r="AC30" s="395">
        <f t="shared" si="32"/>
        <v>0</v>
      </c>
      <c r="AD30" s="395">
        <f t="shared" si="33"/>
        <v>0</v>
      </c>
      <c r="AE30" s="395">
        <f t="shared" si="34"/>
        <v>0</v>
      </c>
      <c r="AF30" s="395">
        <f t="shared" si="35"/>
        <v>0</v>
      </c>
      <c r="AG30" s="395">
        <f t="shared" si="36"/>
        <v>0</v>
      </c>
      <c r="AH30" s="395">
        <f t="shared" si="37"/>
        <v>0</v>
      </c>
      <c r="AI30" s="395">
        <f t="shared" si="38"/>
        <v>0</v>
      </c>
      <c r="AJ30" s="395">
        <f t="shared" si="39"/>
        <v>0</v>
      </c>
      <c r="AK30" s="396"/>
      <c r="AL30" s="391">
        <v>39833</v>
      </c>
      <c r="AM30" s="397">
        <f t="shared" si="40"/>
        <v>3321681024.0769572</v>
      </c>
      <c r="AN30" s="397">
        <f t="shared" si="41"/>
        <v>135020391.73598069</v>
      </c>
      <c r="AO30" s="397">
        <f t="shared" si="42"/>
        <v>117041051.7842769</v>
      </c>
      <c r="AP30" s="397">
        <f t="shared" si="43"/>
        <v>198437060.74714449</v>
      </c>
      <c r="AQ30" s="397">
        <f t="shared" si="4"/>
        <v>3772179528.3443594</v>
      </c>
      <c r="AR30" s="353"/>
      <c r="AT30" s="391">
        <v>39833</v>
      </c>
      <c r="AU30" s="63">
        <v>0</v>
      </c>
      <c r="AV30" s="63">
        <v>0</v>
      </c>
      <c r="AW30" s="63">
        <v>0</v>
      </c>
      <c r="AX30" s="63">
        <v>0</v>
      </c>
      <c r="AY30" s="63">
        <v>0</v>
      </c>
      <c r="AZ30" s="63">
        <v>0</v>
      </c>
      <c r="BA30" s="63">
        <v>0</v>
      </c>
      <c r="BB30" s="63">
        <v>0</v>
      </c>
      <c r="BC30" s="63">
        <v>0</v>
      </c>
      <c r="BD30" s="63">
        <v>0</v>
      </c>
      <c r="BE30" s="63">
        <v>0</v>
      </c>
      <c r="BF30" s="63">
        <v>0</v>
      </c>
      <c r="BG30" s="63">
        <v>0</v>
      </c>
      <c r="BH30" s="63">
        <v>0</v>
      </c>
      <c r="BI30" s="63">
        <v>0</v>
      </c>
      <c r="BJ30" s="63">
        <v>0</v>
      </c>
      <c r="BL30" s="391">
        <v>39833</v>
      </c>
      <c r="BM30" s="397">
        <f t="shared" si="5"/>
        <v>0</v>
      </c>
      <c r="BN30" s="397">
        <f t="shared" si="6"/>
        <v>0</v>
      </c>
      <c r="BO30" s="397">
        <f t="shared" si="7"/>
        <v>0</v>
      </c>
      <c r="BP30" s="397">
        <f t="shared" si="8"/>
        <v>0</v>
      </c>
      <c r="BQ30" s="397">
        <f t="shared" si="9"/>
        <v>0</v>
      </c>
      <c r="BR30" s="397">
        <f t="shared" si="10"/>
        <v>0</v>
      </c>
      <c r="BS30" s="397">
        <f t="shared" si="11"/>
        <v>0</v>
      </c>
      <c r="BT30" s="397">
        <f t="shared" si="12"/>
        <v>0</v>
      </c>
      <c r="BU30" s="397">
        <f t="shared" si="13"/>
        <v>0</v>
      </c>
      <c r="BV30" s="397">
        <f t="shared" si="14"/>
        <v>0</v>
      </c>
      <c r="BW30" s="397">
        <f t="shared" si="15"/>
        <v>0</v>
      </c>
      <c r="BX30" s="397">
        <f t="shared" si="16"/>
        <v>0</v>
      </c>
      <c r="BY30" s="397">
        <f t="shared" si="17"/>
        <v>0</v>
      </c>
      <c r="BZ30" s="397">
        <f t="shared" si="18"/>
        <v>0</v>
      </c>
      <c r="CA30" s="397">
        <f t="shared" si="19"/>
        <v>0</v>
      </c>
      <c r="CB30" s="397">
        <f t="shared" si="20"/>
        <v>0</v>
      </c>
      <c r="CC30" s="391">
        <v>39833</v>
      </c>
      <c r="CD30" s="397">
        <f t="shared" si="44"/>
        <v>0</v>
      </c>
      <c r="CE30" s="397">
        <f t="shared" si="45"/>
        <v>0</v>
      </c>
      <c r="CF30" s="397">
        <f t="shared" si="46"/>
        <v>0</v>
      </c>
      <c r="CG30" s="397">
        <f t="shared" si="47"/>
        <v>0</v>
      </c>
      <c r="CH30" s="397">
        <f t="shared" si="48"/>
        <v>0</v>
      </c>
      <c r="CI30" s="397">
        <f t="shared" si="49"/>
        <v>0</v>
      </c>
      <c r="CJ30" s="397" t="e">
        <f t="shared" si="50"/>
        <v>#REF!</v>
      </c>
      <c r="CK30" s="397">
        <f t="shared" si="51"/>
        <v>0</v>
      </c>
      <c r="CL30" s="397">
        <f t="shared" si="52"/>
        <v>0</v>
      </c>
      <c r="CM30" s="397">
        <f t="shared" si="53"/>
        <v>0</v>
      </c>
      <c r="CN30" s="397">
        <f t="shared" si="54"/>
        <v>0</v>
      </c>
      <c r="CO30" s="397">
        <f t="shared" si="55"/>
        <v>0</v>
      </c>
      <c r="CP30" s="397">
        <f t="shared" si="56"/>
        <v>0</v>
      </c>
      <c r="CQ30" s="397">
        <f t="shared" si="57"/>
        <v>0</v>
      </c>
      <c r="CR30" s="397">
        <f t="shared" si="58"/>
        <v>0</v>
      </c>
      <c r="CS30" s="397">
        <f t="shared" si="59"/>
        <v>0</v>
      </c>
      <c r="CT30" s="398" t="e">
        <f t="shared" si="60"/>
        <v>#REF!</v>
      </c>
      <c r="CV30" s="391">
        <v>39833</v>
      </c>
      <c r="CW30" s="399">
        <f>+CW$3-SUM(AU$4:AU30)-0.02</f>
        <v>-1.9073486328541334E-8</v>
      </c>
      <c r="CX30" s="399">
        <f>+CX$3-SUM(AV$4:AV30)</f>
        <v>0</v>
      </c>
      <c r="CY30" s="399">
        <f>+CY$3-SUM(AW$4:AW30)</f>
        <v>0</v>
      </c>
      <c r="CZ30" s="399">
        <f>+CZ$3-SUM(AX$4:AX30)</f>
        <v>1134552272.3800001</v>
      </c>
      <c r="DA30" s="399">
        <f>+DA$3-SUM(AY$4:AY30)</f>
        <v>1139656560.24</v>
      </c>
      <c r="DB30" s="399">
        <f>+DB$3-SUM(AZ$4:AZ30)</f>
        <v>547472191.47000003</v>
      </c>
      <c r="DC30" s="399" t="e">
        <f>+DC$3-SUM(BA$4:BA30)</f>
        <v>#REF!</v>
      </c>
      <c r="DD30" s="399">
        <f>+DD$3-SUM(BB$4:BB30)</f>
        <v>0</v>
      </c>
      <c r="DE30" s="399">
        <f>+DE$3-SUM(BC$4:BC30)</f>
        <v>112020391.73999999</v>
      </c>
      <c r="DF30" s="399">
        <f>+DF$3-SUM(BD$4:BD30)</f>
        <v>23000000</v>
      </c>
      <c r="DG30" s="399">
        <f>+DG$3-SUM(BE$4:BE30)</f>
        <v>0</v>
      </c>
      <c r="DH30" s="399">
        <f>+DH$3-SUM(BF$4:BF30)</f>
        <v>61041051.780000001</v>
      </c>
      <c r="DI30" s="399">
        <f>+DI$3-SUM(BG$4:BG30)</f>
        <v>56000000</v>
      </c>
      <c r="DJ30" s="399">
        <f>+DJ$3-SUM(BH$4:BH30)</f>
        <v>36902314.299999997</v>
      </c>
      <c r="DK30" s="399">
        <f>+DK$3-SUM(BI$4:BI30)</f>
        <v>141534746.44</v>
      </c>
      <c r="DL30" s="399">
        <f>+DL$3-SUM(BJ$4:BJ30)</f>
        <v>20000000</v>
      </c>
    </row>
    <row r="31" spans="1:116" s="106" customFormat="1">
      <c r="A31" s="391">
        <v>39864</v>
      </c>
      <c r="B31" s="393">
        <v>0</v>
      </c>
      <c r="C31" s="393">
        <v>0</v>
      </c>
      <c r="D31" s="393">
        <v>0</v>
      </c>
      <c r="E31" s="393">
        <v>929732010.83013189</v>
      </c>
      <c r="F31" s="393">
        <v>1139656560.236115</v>
      </c>
      <c r="G31" s="393">
        <v>547472191.47029364</v>
      </c>
      <c r="H31" s="393">
        <v>500000000</v>
      </c>
      <c r="I31" s="393">
        <v>0</v>
      </c>
      <c r="J31" s="393">
        <v>112020391.73598069</v>
      </c>
      <c r="K31" s="393">
        <v>23000000</v>
      </c>
      <c r="L31" s="393">
        <v>0</v>
      </c>
      <c r="M31" s="393">
        <v>61041051.784276903</v>
      </c>
      <c r="N31" s="393">
        <v>56000000</v>
      </c>
      <c r="O31" s="393">
        <v>36902314.302282669</v>
      </c>
      <c r="P31" s="393">
        <v>141534746.44486183</v>
      </c>
      <c r="Q31" s="393">
        <v>20000000</v>
      </c>
      <c r="R31" s="394">
        <f t="shared" si="2"/>
        <v>3567359266.8039427</v>
      </c>
      <c r="S31" s="391">
        <v>39864</v>
      </c>
      <c r="T31" s="395">
        <f t="shared" si="23"/>
        <v>0</v>
      </c>
      <c r="U31" s="395">
        <f t="shared" si="24"/>
        <v>0</v>
      </c>
      <c r="V31" s="395">
        <f t="shared" si="25"/>
        <v>0</v>
      </c>
      <c r="W31" s="395">
        <f t="shared" si="26"/>
        <v>204820261.53999999</v>
      </c>
      <c r="X31" s="395">
        <f t="shared" si="27"/>
        <v>0</v>
      </c>
      <c r="Y31" s="395">
        <f t="shared" si="28"/>
        <v>0</v>
      </c>
      <c r="Z31" s="395">
        <f t="shared" si="29"/>
        <v>0</v>
      </c>
      <c r="AA31" s="395">
        <f t="shared" si="30"/>
        <v>0</v>
      </c>
      <c r="AB31" s="395">
        <f t="shared" si="31"/>
        <v>0</v>
      </c>
      <c r="AC31" s="395">
        <f t="shared" si="32"/>
        <v>0</v>
      </c>
      <c r="AD31" s="395">
        <f t="shared" si="33"/>
        <v>0</v>
      </c>
      <c r="AE31" s="395">
        <f t="shared" si="34"/>
        <v>0</v>
      </c>
      <c r="AF31" s="395">
        <f t="shared" si="35"/>
        <v>0</v>
      </c>
      <c r="AG31" s="395">
        <f t="shared" si="36"/>
        <v>0</v>
      </c>
      <c r="AH31" s="395">
        <f t="shared" si="37"/>
        <v>0</v>
      </c>
      <c r="AI31" s="395">
        <f t="shared" si="38"/>
        <v>0</v>
      </c>
      <c r="AJ31" s="395">
        <f t="shared" si="39"/>
        <v>204820261.53999999</v>
      </c>
      <c r="AK31" s="396"/>
      <c r="AL31" s="391">
        <v>39864</v>
      </c>
      <c r="AM31" s="397">
        <f t="shared" si="40"/>
        <v>3116860762.5365405</v>
      </c>
      <c r="AN31" s="397">
        <f t="shared" si="41"/>
        <v>135020391.73598069</v>
      </c>
      <c r="AO31" s="397">
        <f t="shared" si="42"/>
        <v>117041051.7842769</v>
      </c>
      <c r="AP31" s="397">
        <f t="shared" si="43"/>
        <v>198437060.74714449</v>
      </c>
      <c r="AQ31" s="397">
        <f t="shared" si="4"/>
        <v>3567359266.8039427</v>
      </c>
      <c r="AR31" s="353"/>
      <c r="AT31" s="391">
        <v>39864</v>
      </c>
      <c r="AU31" s="63">
        <v>0</v>
      </c>
      <c r="AV31" s="63">
        <v>0</v>
      </c>
      <c r="AW31" s="63">
        <v>0</v>
      </c>
      <c r="AX31" s="85">
        <v>204820261.53999999</v>
      </c>
      <c r="AY31" s="63">
        <v>0</v>
      </c>
      <c r="AZ31" s="63">
        <v>0</v>
      </c>
      <c r="BA31" s="63">
        <v>0</v>
      </c>
      <c r="BB31" s="63">
        <v>0</v>
      </c>
      <c r="BC31" s="63">
        <v>0</v>
      </c>
      <c r="BD31" s="63">
        <v>0</v>
      </c>
      <c r="BE31" s="63">
        <v>0</v>
      </c>
      <c r="BF31" s="63">
        <v>0</v>
      </c>
      <c r="BG31" s="63">
        <v>0</v>
      </c>
      <c r="BH31" s="63">
        <v>0</v>
      </c>
      <c r="BI31" s="63">
        <v>0</v>
      </c>
      <c r="BJ31" s="63">
        <v>0</v>
      </c>
      <c r="BL31" s="391">
        <v>39864</v>
      </c>
      <c r="BM31" s="397">
        <f t="shared" si="5"/>
        <v>0</v>
      </c>
      <c r="BN31" s="397">
        <f t="shared" si="6"/>
        <v>0</v>
      </c>
      <c r="BO31" s="397">
        <f t="shared" si="7"/>
        <v>0</v>
      </c>
      <c r="BP31" s="397">
        <f t="shared" si="8"/>
        <v>0</v>
      </c>
      <c r="BQ31" s="397">
        <f t="shared" si="9"/>
        <v>0</v>
      </c>
      <c r="BR31" s="397">
        <f t="shared" si="10"/>
        <v>0</v>
      </c>
      <c r="BS31" s="397">
        <f t="shared" si="11"/>
        <v>0</v>
      </c>
      <c r="BT31" s="397">
        <f t="shared" si="12"/>
        <v>0</v>
      </c>
      <c r="BU31" s="397">
        <f t="shared" si="13"/>
        <v>0</v>
      </c>
      <c r="BV31" s="397">
        <f t="shared" si="14"/>
        <v>0</v>
      </c>
      <c r="BW31" s="397">
        <f t="shared" si="15"/>
        <v>0</v>
      </c>
      <c r="BX31" s="397">
        <f t="shared" si="16"/>
        <v>0</v>
      </c>
      <c r="BY31" s="397">
        <f t="shared" si="17"/>
        <v>0</v>
      </c>
      <c r="BZ31" s="397">
        <f t="shared" si="18"/>
        <v>0</v>
      </c>
      <c r="CA31" s="397">
        <f t="shared" si="19"/>
        <v>0</v>
      </c>
      <c r="CB31" s="397">
        <f t="shared" si="20"/>
        <v>0</v>
      </c>
      <c r="CC31" s="391">
        <v>39864</v>
      </c>
      <c r="CD31" s="397">
        <f t="shared" si="44"/>
        <v>0</v>
      </c>
      <c r="CE31" s="397">
        <f t="shared" si="45"/>
        <v>0</v>
      </c>
      <c r="CF31" s="397">
        <f t="shared" si="46"/>
        <v>0</v>
      </c>
      <c r="CG31" s="397">
        <f t="shared" si="47"/>
        <v>0</v>
      </c>
      <c r="CH31" s="397">
        <f t="shared" si="48"/>
        <v>0</v>
      </c>
      <c r="CI31" s="397">
        <f t="shared" si="49"/>
        <v>0</v>
      </c>
      <c r="CJ31" s="397" t="e">
        <f t="shared" si="50"/>
        <v>#REF!</v>
      </c>
      <c r="CK31" s="397">
        <f t="shared" si="51"/>
        <v>0</v>
      </c>
      <c r="CL31" s="397">
        <f t="shared" si="52"/>
        <v>0</v>
      </c>
      <c r="CM31" s="397">
        <f t="shared" si="53"/>
        <v>0</v>
      </c>
      <c r="CN31" s="397">
        <f t="shared" si="54"/>
        <v>0</v>
      </c>
      <c r="CO31" s="397">
        <f t="shared" si="55"/>
        <v>0</v>
      </c>
      <c r="CP31" s="397">
        <f t="shared" si="56"/>
        <v>0</v>
      </c>
      <c r="CQ31" s="397">
        <f t="shared" si="57"/>
        <v>0</v>
      </c>
      <c r="CR31" s="397">
        <f t="shared" si="58"/>
        <v>0</v>
      </c>
      <c r="CS31" s="397">
        <f t="shared" si="59"/>
        <v>0</v>
      </c>
      <c r="CT31" s="398" t="e">
        <f t="shared" si="60"/>
        <v>#REF!</v>
      </c>
      <c r="CV31" s="391">
        <v>39864</v>
      </c>
      <c r="CW31" s="399">
        <f>+CW$3-SUM(AU$4:AU31)-0.02</f>
        <v>-1.9073486328541334E-8</v>
      </c>
      <c r="CX31" s="399">
        <f>+CX$3-SUM(AV$4:AV31)</f>
        <v>0</v>
      </c>
      <c r="CY31" s="399">
        <f>+CY$3-SUM(AW$4:AW31)</f>
        <v>0</v>
      </c>
      <c r="CZ31" s="399">
        <f>+CZ$3-SUM(AX$4:AX31)</f>
        <v>929732010.84000003</v>
      </c>
      <c r="DA31" s="399">
        <f>+DA$3-SUM(AY$4:AY31)</f>
        <v>1139656560.24</v>
      </c>
      <c r="DB31" s="399">
        <f>+DB$3-SUM(AZ$4:AZ31)</f>
        <v>547472191.47000003</v>
      </c>
      <c r="DC31" s="399" t="e">
        <f>+DC$3-SUM(BA$4:BA31)</f>
        <v>#REF!</v>
      </c>
      <c r="DD31" s="399">
        <f>+DD$3-SUM(BB$4:BB31)</f>
        <v>0</v>
      </c>
      <c r="DE31" s="399">
        <f>+DE$3-SUM(BC$4:BC31)</f>
        <v>112020391.73999999</v>
      </c>
      <c r="DF31" s="399">
        <f>+DF$3-SUM(BD$4:BD31)</f>
        <v>23000000</v>
      </c>
      <c r="DG31" s="399">
        <f>+DG$3-SUM(BE$4:BE31)</f>
        <v>0</v>
      </c>
      <c r="DH31" s="399">
        <f>+DH$3-SUM(BF$4:BF31)</f>
        <v>61041051.780000001</v>
      </c>
      <c r="DI31" s="399">
        <f>+DI$3-SUM(BG$4:BG31)</f>
        <v>56000000</v>
      </c>
      <c r="DJ31" s="399">
        <f>+DJ$3-SUM(BH$4:BH31)</f>
        <v>36902314.299999997</v>
      </c>
      <c r="DK31" s="399">
        <f>+DK$3-SUM(BI$4:BI31)</f>
        <v>141534746.44</v>
      </c>
      <c r="DL31" s="399">
        <f>+DL$3-SUM(BJ$4:BJ31)</f>
        <v>20000000</v>
      </c>
    </row>
    <row r="32" spans="1:116" s="106" customFormat="1">
      <c r="A32" s="391">
        <v>39892</v>
      </c>
      <c r="B32" s="393">
        <v>0</v>
      </c>
      <c r="C32" s="393">
        <v>0</v>
      </c>
      <c r="D32" s="393">
        <v>0</v>
      </c>
      <c r="E32" s="393">
        <v>929732010.83013189</v>
      </c>
      <c r="F32" s="393">
        <v>1139656560.236115</v>
      </c>
      <c r="G32" s="393">
        <v>547472191.47029364</v>
      </c>
      <c r="H32" s="393">
        <v>500000000</v>
      </c>
      <c r="I32" s="393">
        <v>0</v>
      </c>
      <c r="J32" s="393">
        <v>112020391.73598069</v>
      </c>
      <c r="K32" s="393">
        <v>23000000</v>
      </c>
      <c r="L32" s="393">
        <v>0</v>
      </c>
      <c r="M32" s="393">
        <v>61041051.784276903</v>
      </c>
      <c r="N32" s="393">
        <v>56000000</v>
      </c>
      <c r="O32" s="393">
        <v>36902314.302282669</v>
      </c>
      <c r="P32" s="393">
        <v>141534746.44486183</v>
      </c>
      <c r="Q32" s="393">
        <v>20000000</v>
      </c>
      <c r="R32" s="394">
        <f t="shared" si="2"/>
        <v>3567359266.8039427</v>
      </c>
      <c r="S32" s="391">
        <v>39892</v>
      </c>
      <c r="T32" s="395">
        <f t="shared" si="23"/>
        <v>0</v>
      </c>
      <c r="U32" s="395">
        <f t="shared" si="24"/>
        <v>0</v>
      </c>
      <c r="V32" s="395">
        <f t="shared" si="25"/>
        <v>0</v>
      </c>
      <c r="W32" s="395">
        <f t="shared" si="26"/>
        <v>0</v>
      </c>
      <c r="X32" s="395">
        <f t="shared" si="27"/>
        <v>0</v>
      </c>
      <c r="Y32" s="395">
        <f t="shared" si="28"/>
        <v>0</v>
      </c>
      <c r="Z32" s="395">
        <f t="shared" si="29"/>
        <v>0</v>
      </c>
      <c r="AA32" s="395">
        <f t="shared" si="30"/>
        <v>0</v>
      </c>
      <c r="AB32" s="395">
        <f t="shared" si="31"/>
        <v>0</v>
      </c>
      <c r="AC32" s="395">
        <f t="shared" si="32"/>
        <v>0</v>
      </c>
      <c r="AD32" s="395">
        <f t="shared" si="33"/>
        <v>0</v>
      </c>
      <c r="AE32" s="395">
        <f t="shared" si="34"/>
        <v>0</v>
      </c>
      <c r="AF32" s="395">
        <f t="shared" si="35"/>
        <v>0</v>
      </c>
      <c r="AG32" s="395">
        <f t="shared" si="36"/>
        <v>0</v>
      </c>
      <c r="AH32" s="395">
        <f t="shared" si="37"/>
        <v>0</v>
      </c>
      <c r="AI32" s="395">
        <f t="shared" si="38"/>
        <v>0</v>
      </c>
      <c r="AJ32" s="395">
        <f t="shared" si="39"/>
        <v>0</v>
      </c>
      <c r="AK32" s="396"/>
      <c r="AL32" s="391">
        <v>39892</v>
      </c>
      <c r="AM32" s="397">
        <f t="shared" si="40"/>
        <v>3116860762.5365405</v>
      </c>
      <c r="AN32" s="397">
        <f t="shared" si="41"/>
        <v>135020391.73598069</v>
      </c>
      <c r="AO32" s="397">
        <f t="shared" si="42"/>
        <v>117041051.7842769</v>
      </c>
      <c r="AP32" s="397">
        <f t="shared" si="43"/>
        <v>198437060.74714449</v>
      </c>
      <c r="AQ32" s="397">
        <f t="shared" si="4"/>
        <v>3567359266.8039427</v>
      </c>
      <c r="AR32" s="353"/>
      <c r="AT32" s="391">
        <v>39892</v>
      </c>
      <c r="AU32" s="63">
        <v>0</v>
      </c>
      <c r="AV32" s="63">
        <v>0</v>
      </c>
      <c r="AW32" s="63">
        <v>0</v>
      </c>
      <c r="AX32" s="63">
        <v>0</v>
      </c>
      <c r="AY32" s="63">
        <v>0</v>
      </c>
      <c r="AZ32" s="63">
        <v>0</v>
      </c>
      <c r="BA32" s="63">
        <v>0</v>
      </c>
      <c r="BB32" s="63">
        <v>0</v>
      </c>
      <c r="BC32" s="63">
        <v>0</v>
      </c>
      <c r="BD32" s="63">
        <v>0</v>
      </c>
      <c r="BE32" s="63">
        <v>0</v>
      </c>
      <c r="BF32" s="63">
        <v>0</v>
      </c>
      <c r="BG32" s="63">
        <v>0</v>
      </c>
      <c r="BH32" s="63">
        <v>0</v>
      </c>
      <c r="BI32" s="63">
        <v>0</v>
      </c>
      <c r="BJ32" s="63">
        <v>0</v>
      </c>
      <c r="BL32" s="391">
        <v>39892</v>
      </c>
      <c r="BM32" s="397">
        <f t="shared" si="5"/>
        <v>0</v>
      </c>
      <c r="BN32" s="397">
        <f t="shared" si="6"/>
        <v>0</v>
      </c>
      <c r="BO32" s="397">
        <f t="shared" si="7"/>
        <v>0</v>
      </c>
      <c r="BP32" s="397">
        <f t="shared" si="8"/>
        <v>0</v>
      </c>
      <c r="BQ32" s="397">
        <f t="shared" si="9"/>
        <v>0</v>
      </c>
      <c r="BR32" s="397">
        <f t="shared" si="10"/>
        <v>0</v>
      </c>
      <c r="BS32" s="397">
        <f t="shared" si="11"/>
        <v>0</v>
      </c>
      <c r="BT32" s="397">
        <f t="shared" si="12"/>
        <v>0</v>
      </c>
      <c r="BU32" s="397">
        <f t="shared" si="13"/>
        <v>0</v>
      </c>
      <c r="BV32" s="397">
        <f t="shared" si="14"/>
        <v>0</v>
      </c>
      <c r="BW32" s="397">
        <f t="shared" si="15"/>
        <v>0</v>
      </c>
      <c r="BX32" s="397">
        <f t="shared" si="16"/>
        <v>0</v>
      </c>
      <c r="BY32" s="397">
        <f t="shared" si="17"/>
        <v>0</v>
      </c>
      <c r="BZ32" s="397">
        <f t="shared" si="18"/>
        <v>0</v>
      </c>
      <c r="CA32" s="397">
        <f t="shared" si="19"/>
        <v>0</v>
      </c>
      <c r="CB32" s="397">
        <f t="shared" si="20"/>
        <v>0</v>
      </c>
      <c r="CC32" s="391">
        <v>39892</v>
      </c>
      <c r="CD32" s="397">
        <f t="shared" si="44"/>
        <v>0</v>
      </c>
      <c r="CE32" s="397">
        <f t="shared" si="45"/>
        <v>0</v>
      </c>
      <c r="CF32" s="397">
        <f t="shared" si="46"/>
        <v>0</v>
      </c>
      <c r="CG32" s="397">
        <f t="shared" si="47"/>
        <v>0</v>
      </c>
      <c r="CH32" s="397">
        <f t="shared" si="48"/>
        <v>0</v>
      </c>
      <c r="CI32" s="397">
        <f t="shared" si="49"/>
        <v>0</v>
      </c>
      <c r="CJ32" s="397" t="e">
        <f t="shared" si="50"/>
        <v>#REF!</v>
      </c>
      <c r="CK32" s="397">
        <f t="shared" si="51"/>
        <v>0</v>
      </c>
      <c r="CL32" s="397">
        <f t="shared" si="52"/>
        <v>0</v>
      </c>
      <c r="CM32" s="397">
        <f t="shared" si="53"/>
        <v>0</v>
      </c>
      <c r="CN32" s="397">
        <f t="shared" si="54"/>
        <v>0</v>
      </c>
      <c r="CO32" s="397">
        <f t="shared" si="55"/>
        <v>0</v>
      </c>
      <c r="CP32" s="397">
        <f t="shared" si="56"/>
        <v>0</v>
      </c>
      <c r="CQ32" s="397">
        <f t="shared" si="57"/>
        <v>0</v>
      </c>
      <c r="CR32" s="397">
        <f t="shared" si="58"/>
        <v>0</v>
      </c>
      <c r="CS32" s="397">
        <f t="shared" si="59"/>
        <v>0</v>
      </c>
      <c r="CT32" s="398" t="e">
        <f t="shared" si="60"/>
        <v>#REF!</v>
      </c>
      <c r="CV32" s="391">
        <v>39892</v>
      </c>
      <c r="CW32" s="399">
        <f>+CW$3-SUM(AU$4:AU32)-0.02</f>
        <v>-1.9073486328541334E-8</v>
      </c>
      <c r="CX32" s="399">
        <f>+CX$3-SUM(AV$4:AV32)</f>
        <v>0</v>
      </c>
      <c r="CY32" s="399">
        <f>+CY$3-SUM(AW$4:AW32)</f>
        <v>0</v>
      </c>
      <c r="CZ32" s="399">
        <f>+CZ$3-SUM(AX$4:AX32)</f>
        <v>929732010.84000003</v>
      </c>
      <c r="DA32" s="399">
        <f>+DA$3-SUM(AY$4:AY32)</f>
        <v>1139656560.24</v>
      </c>
      <c r="DB32" s="399">
        <f>+DB$3-SUM(AZ$4:AZ32)</f>
        <v>547472191.47000003</v>
      </c>
      <c r="DC32" s="399" t="e">
        <f>+DC$3-SUM(BA$4:BA32)</f>
        <v>#REF!</v>
      </c>
      <c r="DD32" s="399">
        <f>+DD$3-SUM(BB$4:BB32)</f>
        <v>0</v>
      </c>
      <c r="DE32" s="399">
        <f>+DE$3-SUM(BC$4:BC32)</f>
        <v>112020391.73999999</v>
      </c>
      <c r="DF32" s="399">
        <f>+DF$3-SUM(BD$4:BD32)</f>
        <v>23000000</v>
      </c>
      <c r="DG32" s="399">
        <f>+DG$3-SUM(BE$4:BE32)</f>
        <v>0</v>
      </c>
      <c r="DH32" s="399">
        <f>+DH$3-SUM(BF$4:BF32)</f>
        <v>61041051.780000001</v>
      </c>
      <c r="DI32" s="399">
        <f>+DI$3-SUM(BG$4:BG32)</f>
        <v>56000000</v>
      </c>
      <c r="DJ32" s="399">
        <f>+DJ$3-SUM(BH$4:BH32)</f>
        <v>36902314.299999997</v>
      </c>
      <c r="DK32" s="399">
        <f>+DK$3-SUM(BI$4:BI32)</f>
        <v>141534746.44</v>
      </c>
      <c r="DL32" s="399">
        <f>+DL$3-SUM(BJ$4:BJ32)</f>
        <v>20000000</v>
      </c>
    </row>
    <row r="33" spans="1:116" s="106" customFormat="1">
      <c r="A33" s="391">
        <v>39923</v>
      </c>
      <c r="B33" s="393">
        <v>0</v>
      </c>
      <c r="C33" s="393">
        <v>0</v>
      </c>
      <c r="D33" s="393">
        <v>0</v>
      </c>
      <c r="E33" s="393">
        <v>929732010.83013189</v>
      </c>
      <c r="F33" s="393">
        <v>1139656560.236115</v>
      </c>
      <c r="G33" s="393">
        <v>547472191.47029364</v>
      </c>
      <c r="H33" s="393">
        <v>500000000</v>
      </c>
      <c r="I33" s="393">
        <v>0</v>
      </c>
      <c r="J33" s="393">
        <v>112020391.73598069</v>
      </c>
      <c r="K33" s="393">
        <v>23000000</v>
      </c>
      <c r="L33" s="393">
        <v>0</v>
      </c>
      <c r="M33" s="393">
        <v>61041051.784276903</v>
      </c>
      <c r="N33" s="393">
        <v>56000000</v>
      </c>
      <c r="O33" s="393">
        <v>36902314.302282669</v>
      </c>
      <c r="P33" s="393">
        <v>141534746.44486183</v>
      </c>
      <c r="Q33" s="393">
        <v>20000000</v>
      </c>
      <c r="R33" s="394">
        <f t="shared" si="2"/>
        <v>3567359266.8039427</v>
      </c>
      <c r="S33" s="391">
        <v>39923</v>
      </c>
      <c r="T33" s="395">
        <f t="shared" si="23"/>
        <v>0</v>
      </c>
      <c r="U33" s="395">
        <f t="shared" si="24"/>
        <v>0</v>
      </c>
      <c r="V33" s="395">
        <f t="shared" si="25"/>
        <v>0</v>
      </c>
      <c r="W33" s="395">
        <f t="shared" si="26"/>
        <v>0</v>
      </c>
      <c r="X33" s="395">
        <f t="shared" si="27"/>
        <v>0</v>
      </c>
      <c r="Y33" s="395">
        <f t="shared" si="28"/>
        <v>0</v>
      </c>
      <c r="Z33" s="395">
        <f t="shared" si="29"/>
        <v>0</v>
      </c>
      <c r="AA33" s="395">
        <f t="shared" si="30"/>
        <v>0</v>
      </c>
      <c r="AB33" s="395">
        <f t="shared" si="31"/>
        <v>0</v>
      </c>
      <c r="AC33" s="395">
        <f t="shared" si="32"/>
        <v>0</v>
      </c>
      <c r="AD33" s="395">
        <f t="shared" si="33"/>
        <v>0</v>
      </c>
      <c r="AE33" s="395">
        <f t="shared" si="34"/>
        <v>0</v>
      </c>
      <c r="AF33" s="395">
        <f t="shared" si="35"/>
        <v>0</v>
      </c>
      <c r="AG33" s="395">
        <f t="shared" si="36"/>
        <v>0</v>
      </c>
      <c r="AH33" s="395">
        <f t="shared" si="37"/>
        <v>0</v>
      </c>
      <c r="AI33" s="395">
        <f t="shared" si="38"/>
        <v>0</v>
      </c>
      <c r="AJ33" s="395">
        <f t="shared" si="39"/>
        <v>0</v>
      </c>
      <c r="AK33" s="396"/>
      <c r="AL33" s="391">
        <v>39923</v>
      </c>
      <c r="AM33" s="397">
        <f t="shared" si="40"/>
        <v>3116860762.5365405</v>
      </c>
      <c r="AN33" s="397">
        <f t="shared" si="41"/>
        <v>135020391.73598069</v>
      </c>
      <c r="AO33" s="397">
        <f t="shared" si="42"/>
        <v>117041051.7842769</v>
      </c>
      <c r="AP33" s="397">
        <f t="shared" si="43"/>
        <v>198437060.74714449</v>
      </c>
      <c r="AQ33" s="397">
        <f t="shared" si="4"/>
        <v>3567359266.8039427</v>
      </c>
      <c r="AR33" s="353"/>
      <c r="AT33" s="391">
        <v>39923</v>
      </c>
      <c r="AU33" s="63">
        <v>0</v>
      </c>
      <c r="AV33" s="63">
        <v>0</v>
      </c>
      <c r="AW33" s="63">
        <v>0</v>
      </c>
      <c r="AX33" s="63">
        <v>0</v>
      </c>
      <c r="AY33" s="63">
        <v>0</v>
      </c>
      <c r="AZ33" s="63">
        <v>0</v>
      </c>
      <c r="BA33" s="63">
        <v>0</v>
      </c>
      <c r="BB33" s="63">
        <v>0</v>
      </c>
      <c r="BC33" s="63">
        <v>0</v>
      </c>
      <c r="BD33" s="63">
        <v>0</v>
      </c>
      <c r="BE33" s="63">
        <v>0</v>
      </c>
      <c r="BF33" s="63">
        <v>0</v>
      </c>
      <c r="BG33" s="63">
        <v>0</v>
      </c>
      <c r="BH33" s="63">
        <v>0</v>
      </c>
      <c r="BI33" s="63">
        <v>0</v>
      </c>
      <c r="BJ33" s="63">
        <v>0</v>
      </c>
      <c r="BL33" s="391">
        <v>39923</v>
      </c>
      <c r="BM33" s="397">
        <f t="shared" si="5"/>
        <v>0</v>
      </c>
      <c r="BN33" s="397">
        <f t="shared" si="6"/>
        <v>0</v>
      </c>
      <c r="BO33" s="397">
        <f t="shared" si="7"/>
        <v>0</v>
      </c>
      <c r="BP33" s="397">
        <f t="shared" si="8"/>
        <v>0</v>
      </c>
      <c r="BQ33" s="397">
        <f t="shared" si="9"/>
        <v>0</v>
      </c>
      <c r="BR33" s="397">
        <f t="shared" si="10"/>
        <v>0</v>
      </c>
      <c r="BS33" s="397">
        <f t="shared" si="11"/>
        <v>0</v>
      </c>
      <c r="BT33" s="397">
        <f t="shared" si="12"/>
        <v>0</v>
      </c>
      <c r="BU33" s="397">
        <f t="shared" si="13"/>
        <v>0</v>
      </c>
      <c r="BV33" s="397">
        <f t="shared" si="14"/>
        <v>0</v>
      </c>
      <c r="BW33" s="397">
        <f t="shared" si="15"/>
        <v>0</v>
      </c>
      <c r="BX33" s="397">
        <f t="shared" si="16"/>
        <v>0</v>
      </c>
      <c r="BY33" s="397">
        <f t="shared" si="17"/>
        <v>0</v>
      </c>
      <c r="BZ33" s="397">
        <f t="shared" si="18"/>
        <v>0</v>
      </c>
      <c r="CA33" s="397">
        <f t="shared" si="19"/>
        <v>0</v>
      </c>
      <c r="CB33" s="397">
        <f t="shared" si="20"/>
        <v>0</v>
      </c>
      <c r="CC33" s="391">
        <v>39923</v>
      </c>
      <c r="CD33" s="397">
        <f t="shared" si="44"/>
        <v>0</v>
      </c>
      <c r="CE33" s="397">
        <f t="shared" si="45"/>
        <v>0</v>
      </c>
      <c r="CF33" s="397">
        <f t="shared" si="46"/>
        <v>0</v>
      </c>
      <c r="CG33" s="397">
        <f t="shared" si="47"/>
        <v>0</v>
      </c>
      <c r="CH33" s="397">
        <f t="shared" si="48"/>
        <v>0</v>
      </c>
      <c r="CI33" s="397">
        <f t="shared" si="49"/>
        <v>0</v>
      </c>
      <c r="CJ33" s="397" t="e">
        <f t="shared" si="50"/>
        <v>#REF!</v>
      </c>
      <c r="CK33" s="397">
        <f t="shared" si="51"/>
        <v>0</v>
      </c>
      <c r="CL33" s="397">
        <f t="shared" si="52"/>
        <v>0</v>
      </c>
      <c r="CM33" s="397">
        <f t="shared" si="53"/>
        <v>0</v>
      </c>
      <c r="CN33" s="397">
        <f t="shared" si="54"/>
        <v>0</v>
      </c>
      <c r="CO33" s="397">
        <f t="shared" si="55"/>
        <v>0</v>
      </c>
      <c r="CP33" s="397">
        <f t="shared" si="56"/>
        <v>0</v>
      </c>
      <c r="CQ33" s="397">
        <f t="shared" si="57"/>
        <v>0</v>
      </c>
      <c r="CR33" s="397">
        <f t="shared" si="58"/>
        <v>0</v>
      </c>
      <c r="CS33" s="397">
        <f t="shared" si="59"/>
        <v>0</v>
      </c>
      <c r="CT33" s="398" t="e">
        <f t="shared" si="60"/>
        <v>#REF!</v>
      </c>
      <c r="CV33" s="391">
        <v>39923</v>
      </c>
      <c r="CW33" s="399">
        <f>+CW$3-SUM(AU$4:AU33)-0.02</f>
        <v>-1.9073486328541334E-8</v>
      </c>
      <c r="CX33" s="399">
        <f>+CX$3-SUM(AV$4:AV33)</f>
        <v>0</v>
      </c>
      <c r="CY33" s="399">
        <f>+CY$3-SUM(AW$4:AW33)</f>
        <v>0</v>
      </c>
      <c r="CZ33" s="399">
        <f>+CZ$3-SUM(AX$4:AX33)</f>
        <v>929732010.84000003</v>
      </c>
      <c r="DA33" s="399">
        <f>+DA$3-SUM(AY$4:AY33)</f>
        <v>1139656560.24</v>
      </c>
      <c r="DB33" s="399">
        <f>+DB$3-SUM(AZ$4:AZ33)</f>
        <v>547472191.47000003</v>
      </c>
      <c r="DC33" s="399" t="e">
        <f>+DC$3-SUM(BA$4:BA33)</f>
        <v>#REF!</v>
      </c>
      <c r="DD33" s="399">
        <f>+DD$3-SUM(BB$4:BB33)</f>
        <v>0</v>
      </c>
      <c r="DE33" s="399">
        <f>+DE$3-SUM(BC$4:BC33)</f>
        <v>112020391.73999999</v>
      </c>
      <c r="DF33" s="399">
        <f>+DF$3-SUM(BD$4:BD33)</f>
        <v>23000000</v>
      </c>
      <c r="DG33" s="399">
        <f>+DG$3-SUM(BE$4:BE33)</f>
        <v>0</v>
      </c>
      <c r="DH33" s="399">
        <f>+DH$3-SUM(BF$4:BF33)</f>
        <v>61041051.780000001</v>
      </c>
      <c r="DI33" s="399">
        <f>+DI$3-SUM(BG$4:BG33)</f>
        <v>56000000</v>
      </c>
      <c r="DJ33" s="399">
        <f>+DJ$3-SUM(BH$4:BH33)</f>
        <v>36902314.299999997</v>
      </c>
      <c r="DK33" s="399">
        <f>+DK$3-SUM(BI$4:BI33)</f>
        <v>141534746.44</v>
      </c>
      <c r="DL33" s="399">
        <f>+DL$3-SUM(BJ$4:BJ33)</f>
        <v>20000000</v>
      </c>
    </row>
    <row r="34" spans="1:116" s="106" customFormat="1">
      <c r="A34" s="391">
        <v>39953</v>
      </c>
      <c r="B34" s="393">
        <v>0</v>
      </c>
      <c r="C34" s="393">
        <v>0</v>
      </c>
      <c r="D34" s="393">
        <v>0</v>
      </c>
      <c r="E34" s="393">
        <v>736024967.12444663</v>
      </c>
      <c r="F34" s="393">
        <v>1139656560.236115</v>
      </c>
      <c r="G34" s="393">
        <v>547472191.47029364</v>
      </c>
      <c r="H34" s="393">
        <v>500000000</v>
      </c>
      <c r="I34" s="393">
        <v>0</v>
      </c>
      <c r="J34" s="393">
        <v>112020391.73598069</v>
      </c>
      <c r="K34" s="393">
        <v>23000000</v>
      </c>
      <c r="L34" s="393">
        <v>0</v>
      </c>
      <c r="M34" s="393">
        <v>61041051.784276903</v>
      </c>
      <c r="N34" s="393">
        <v>56000000</v>
      </c>
      <c r="O34" s="393">
        <v>36902314.302282669</v>
      </c>
      <c r="P34" s="393">
        <v>141534746.44486183</v>
      </c>
      <c r="Q34" s="393">
        <v>20000000</v>
      </c>
      <c r="R34" s="394">
        <f t="shared" si="2"/>
        <v>3373652223.0982575</v>
      </c>
      <c r="S34" s="391">
        <v>39953</v>
      </c>
      <c r="T34" s="395">
        <f t="shared" si="23"/>
        <v>0</v>
      </c>
      <c r="U34" s="395">
        <f t="shared" si="24"/>
        <v>0</v>
      </c>
      <c r="V34" s="395">
        <f t="shared" si="25"/>
        <v>0</v>
      </c>
      <c r="W34" s="395">
        <f t="shared" si="26"/>
        <v>193707043.71000001</v>
      </c>
      <c r="X34" s="395">
        <f t="shared" si="27"/>
        <v>0</v>
      </c>
      <c r="Y34" s="395">
        <f t="shared" si="28"/>
        <v>0</v>
      </c>
      <c r="Z34" s="395">
        <f t="shared" si="29"/>
        <v>0</v>
      </c>
      <c r="AA34" s="395">
        <f t="shared" si="30"/>
        <v>0</v>
      </c>
      <c r="AB34" s="395">
        <f t="shared" si="31"/>
        <v>0</v>
      </c>
      <c r="AC34" s="395">
        <f t="shared" si="32"/>
        <v>0</v>
      </c>
      <c r="AD34" s="395">
        <f t="shared" si="33"/>
        <v>0</v>
      </c>
      <c r="AE34" s="395">
        <f t="shared" si="34"/>
        <v>0</v>
      </c>
      <c r="AF34" s="395">
        <f t="shared" si="35"/>
        <v>0</v>
      </c>
      <c r="AG34" s="395">
        <f t="shared" si="36"/>
        <v>0</v>
      </c>
      <c r="AH34" s="395">
        <f t="shared" si="37"/>
        <v>0</v>
      </c>
      <c r="AI34" s="395">
        <f t="shared" si="38"/>
        <v>0</v>
      </c>
      <c r="AJ34" s="395">
        <f t="shared" si="39"/>
        <v>193707043.71000001</v>
      </c>
      <c r="AK34" s="396"/>
      <c r="AL34" s="391">
        <v>39953</v>
      </c>
      <c r="AM34" s="397">
        <f t="shared" si="40"/>
        <v>2923153718.8308554</v>
      </c>
      <c r="AN34" s="397">
        <f t="shared" si="41"/>
        <v>135020391.73598069</v>
      </c>
      <c r="AO34" s="397">
        <f t="shared" si="42"/>
        <v>117041051.7842769</v>
      </c>
      <c r="AP34" s="397">
        <f t="shared" si="43"/>
        <v>198437060.74714449</v>
      </c>
      <c r="AQ34" s="397">
        <f t="shared" si="4"/>
        <v>3373652223.0982575</v>
      </c>
      <c r="AR34" s="353"/>
      <c r="AT34" s="391">
        <v>39953</v>
      </c>
      <c r="AU34" s="63">
        <v>0</v>
      </c>
      <c r="AV34" s="63">
        <v>0</v>
      </c>
      <c r="AW34" s="63">
        <v>0</v>
      </c>
      <c r="AX34" s="85">
        <v>193707043.71000001</v>
      </c>
      <c r="AY34" s="63">
        <v>0</v>
      </c>
      <c r="AZ34" s="63">
        <v>0</v>
      </c>
      <c r="BA34" s="63">
        <v>0</v>
      </c>
      <c r="BB34" s="63">
        <v>0</v>
      </c>
      <c r="BC34" s="63">
        <v>0</v>
      </c>
      <c r="BD34" s="63">
        <v>0</v>
      </c>
      <c r="BE34" s="63">
        <v>0</v>
      </c>
      <c r="BF34" s="63">
        <v>0</v>
      </c>
      <c r="BG34" s="63">
        <v>0</v>
      </c>
      <c r="BH34" s="63">
        <v>0</v>
      </c>
      <c r="BI34" s="63">
        <v>0</v>
      </c>
      <c r="BJ34" s="63">
        <v>0</v>
      </c>
      <c r="BL34" s="391">
        <v>39953</v>
      </c>
      <c r="BM34" s="397">
        <f t="shared" si="5"/>
        <v>0</v>
      </c>
      <c r="BN34" s="397">
        <f t="shared" si="6"/>
        <v>0</v>
      </c>
      <c r="BO34" s="397">
        <f t="shared" si="7"/>
        <v>0</v>
      </c>
      <c r="BP34" s="397">
        <f t="shared" si="8"/>
        <v>0</v>
      </c>
      <c r="BQ34" s="397">
        <f t="shared" si="9"/>
        <v>0</v>
      </c>
      <c r="BR34" s="397">
        <f t="shared" si="10"/>
        <v>0</v>
      </c>
      <c r="BS34" s="397">
        <f t="shared" si="11"/>
        <v>0</v>
      </c>
      <c r="BT34" s="397">
        <f t="shared" si="12"/>
        <v>0</v>
      </c>
      <c r="BU34" s="397">
        <f t="shared" si="13"/>
        <v>0</v>
      </c>
      <c r="BV34" s="397">
        <f t="shared" si="14"/>
        <v>0</v>
      </c>
      <c r="BW34" s="397">
        <f t="shared" si="15"/>
        <v>0</v>
      </c>
      <c r="BX34" s="397">
        <f t="shared" si="16"/>
        <v>0</v>
      </c>
      <c r="BY34" s="397">
        <f t="shared" si="17"/>
        <v>0</v>
      </c>
      <c r="BZ34" s="397">
        <f t="shared" si="18"/>
        <v>0</v>
      </c>
      <c r="CA34" s="397">
        <f t="shared" si="19"/>
        <v>0</v>
      </c>
      <c r="CB34" s="397">
        <f t="shared" si="20"/>
        <v>0</v>
      </c>
      <c r="CC34" s="391">
        <v>39953</v>
      </c>
      <c r="CD34" s="397">
        <f t="shared" si="44"/>
        <v>0</v>
      </c>
      <c r="CE34" s="397">
        <f t="shared" si="45"/>
        <v>0</v>
      </c>
      <c r="CF34" s="397">
        <f t="shared" si="46"/>
        <v>0</v>
      </c>
      <c r="CG34" s="397">
        <f t="shared" si="47"/>
        <v>0</v>
      </c>
      <c r="CH34" s="397">
        <f t="shared" si="48"/>
        <v>0</v>
      </c>
      <c r="CI34" s="397">
        <f t="shared" si="49"/>
        <v>0</v>
      </c>
      <c r="CJ34" s="397" t="e">
        <f t="shared" si="50"/>
        <v>#REF!</v>
      </c>
      <c r="CK34" s="397">
        <f t="shared" si="51"/>
        <v>0</v>
      </c>
      <c r="CL34" s="397">
        <f t="shared" si="52"/>
        <v>0</v>
      </c>
      <c r="CM34" s="397">
        <f t="shared" si="53"/>
        <v>0</v>
      </c>
      <c r="CN34" s="397">
        <f t="shared" si="54"/>
        <v>0</v>
      </c>
      <c r="CO34" s="397">
        <f t="shared" si="55"/>
        <v>0</v>
      </c>
      <c r="CP34" s="397">
        <f t="shared" si="56"/>
        <v>0</v>
      </c>
      <c r="CQ34" s="397">
        <f t="shared" si="57"/>
        <v>0</v>
      </c>
      <c r="CR34" s="397">
        <f t="shared" si="58"/>
        <v>0</v>
      </c>
      <c r="CS34" s="397">
        <f t="shared" si="59"/>
        <v>0</v>
      </c>
      <c r="CT34" s="398" t="e">
        <f t="shared" si="60"/>
        <v>#REF!</v>
      </c>
      <c r="CV34" s="391">
        <v>39953</v>
      </c>
      <c r="CW34" s="399">
        <f>+CW$3-SUM(AU$4:AU34)-0.02</f>
        <v>-1.9073486328541334E-8</v>
      </c>
      <c r="CX34" s="399">
        <f>+CX$3-SUM(AV$4:AV34)</f>
        <v>0</v>
      </c>
      <c r="CY34" s="399">
        <f>+CY$3-SUM(AW$4:AW34)</f>
        <v>0</v>
      </c>
      <c r="CZ34" s="399">
        <f>+CZ$3-SUM(AX$4:AX34)</f>
        <v>736024967.13</v>
      </c>
      <c r="DA34" s="399">
        <f>+DA$3-SUM(AY$4:AY34)</f>
        <v>1139656560.24</v>
      </c>
      <c r="DB34" s="399">
        <f>+DB$3-SUM(AZ$4:AZ34)</f>
        <v>547472191.47000003</v>
      </c>
      <c r="DC34" s="399" t="e">
        <f>+DC$3-SUM(BA$4:BA34)</f>
        <v>#REF!</v>
      </c>
      <c r="DD34" s="399">
        <f>+DD$3-SUM(BB$4:BB34)</f>
        <v>0</v>
      </c>
      <c r="DE34" s="399">
        <f>+DE$3-SUM(BC$4:BC34)</f>
        <v>112020391.73999999</v>
      </c>
      <c r="DF34" s="399">
        <f>+DF$3-SUM(BD$4:BD34)</f>
        <v>23000000</v>
      </c>
      <c r="DG34" s="399">
        <f>+DG$3-SUM(BE$4:BE34)</f>
        <v>0</v>
      </c>
      <c r="DH34" s="399">
        <f>+DH$3-SUM(BF$4:BF34)</f>
        <v>61041051.780000001</v>
      </c>
      <c r="DI34" s="399">
        <f>+DI$3-SUM(BG$4:BG34)</f>
        <v>56000000</v>
      </c>
      <c r="DJ34" s="399">
        <f>+DJ$3-SUM(BH$4:BH34)</f>
        <v>36902314.299999997</v>
      </c>
      <c r="DK34" s="399">
        <f>+DK$3-SUM(BI$4:BI34)</f>
        <v>141534746.44</v>
      </c>
      <c r="DL34" s="399">
        <f>+DL$3-SUM(BJ$4:BJ34)</f>
        <v>20000000</v>
      </c>
    </row>
    <row r="35" spans="1:116" s="106" customFormat="1">
      <c r="A35" s="391">
        <v>39984</v>
      </c>
      <c r="B35" s="393">
        <v>0</v>
      </c>
      <c r="C35" s="393">
        <v>0</v>
      </c>
      <c r="D35" s="393">
        <v>0</v>
      </c>
      <c r="E35" s="393">
        <v>736024967.12444663</v>
      </c>
      <c r="F35" s="393">
        <v>1139656560.236115</v>
      </c>
      <c r="G35" s="393">
        <v>547472191.47029364</v>
      </c>
      <c r="H35" s="393">
        <v>500000000</v>
      </c>
      <c r="I35" s="393">
        <v>0</v>
      </c>
      <c r="J35" s="393">
        <v>112020391.73598069</v>
      </c>
      <c r="K35" s="393">
        <v>23000000</v>
      </c>
      <c r="L35" s="393">
        <v>0</v>
      </c>
      <c r="M35" s="393">
        <v>61041051.784276903</v>
      </c>
      <c r="N35" s="393">
        <v>56000000</v>
      </c>
      <c r="O35" s="393">
        <v>36902314.302282669</v>
      </c>
      <c r="P35" s="393">
        <v>141534746.44486183</v>
      </c>
      <c r="Q35" s="393">
        <v>20000000</v>
      </c>
      <c r="R35" s="394">
        <f t="shared" si="2"/>
        <v>3373652223.0982575</v>
      </c>
      <c r="S35" s="391">
        <v>39984</v>
      </c>
      <c r="T35" s="395">
        <f t="shared" si="23"/>
        <v>0</v>
      </c>
      <c r="U35" s="395">
        <f t="shared" si="24"/>
        <v>0</v>
      </c>
      <c r="V35" s="395">
        <f t="shared" si="25"/>
        <v>0</v>
      </c>
      <c r="W35" s="395">
        <f t="shared" si="26"/>
        <v>0</v>
      </c>
      <c r="X35" s="395">
        <f t="shared" si="27"/>
        <v>0</v>
      </c>
      <c r="Y35" s="395">
        <f t="shared" si="28"/>
        <v>0</v>
      </c>
      <c r="Z35" s="395">
        <f t="shared" si="29"/>
        <v>0</v>
      </c>
      <c r="AA35" s="395">
        <f t="shared" si="30"/>
        <v>0</v>
      </c>
      <c r="AB35" s="395">
        <f t="shared" si="31"/>
        <v>0</v>
      </c>
      <c r="AC35" s="395">
        <f t="shared" si="32"/>
        <v>0</v>
      </c>
      <c r="AD35" s="395">
        <f t="shared" si="33"/>
        <v>0</v>
      </c>
      <c r="AE35" s="395">
        <f t="shared" si="34"/>
        <v>0</v>
      </c>
      <c r="AF35" s="395">
        <f t="shared" si="35"/>
        <v>0</v>
      </c>
      <c r="AG35" s="395">
        <f t="shared" si="36"/>
        <v>0</v>
      </c>
      <c r="AH35" s="395">
        <f t="shared" si="37"/>
        <v>0</v>
      </c>
      <c r="AI35" s="395">
        <f t="shared" si="38"/>
        <v>0</v>
      </c>
      <c r="AJ35" s="395">
        <f t="shared" si="39"/>
        <v>0</v>
      </c>
      <c r="AK35" s="396"/>
      <c r="AL35" s="391">
        <v>39984</v>
      </c>
      <c r="AM35" s="397">
        <f t="shared" si="40"/>
        <v>2923153718.8308554</v>
      </c>
      <c r="AN35" s="397">
        <f t="shared" si="41"/>
        <v>135020391.73598069</v>
      </c>
      <c r="AO35" s="397">
        <f t="shared" si="42"/>
        <v>117041051.7842769</v>
      </c>
      <c r="AP35" s="397">
        <f t="shared" si="43"/>
        <v>198437060.74714449</v>
      </c>
      <c r="AQ35" s="397">
        <f t="shared" si="4"/>
        <v>3373652223.0982575</v>
      </c>
      <c r="AR35" s="353"/>
      <c r="AT35" s="391">
        <v>39984</v>
      </c>
      <c r="AU35" s="63">
        <v>0</v>
      </c>
      <c r="AV35" s="63">
        <v>0</v>
      </c>
      <c r="AW35" s="63">
        <v>0</v>
      </c>
      <c r="AX35" s="63">
        <v>0</v>
      </c>
      <c r="AY35" s="63">
        <v>0</v>
      </c>
      <c r="AZ35" s="63">
        <v>0</v>
      </c>
      <c r="BA35" s="63">
        <v>0</v>
      </c>
      <c r="BB35" s="63">
        <v>0</v>
      </c>
      <c r="BC35" s="63">
        <v>0</v>
      </c>
      <c r="BD35" s="63">
        <v>0</v>
      </c>
      <c r="BE35" s="63">
        <v>0</v>
      </c>
      <c r="BF35" s="63">
        <v>0</v>
      </c>
      <c r="BG35" s="63">
        <v>0</v>
      </c>
      <c r="BH35" s="63">
        <v>0</v>
      </c>
      <c r="BI35" s="63">
        <v>0</v>
      </c>
      <c r="BJ35" s="63">
        <v>0</v>
      </c>
      <c r="BL35" s="391">
        <v>39984</v>
      </c>
      <c r="BM35" s="397">
        <f t="shared" si="5"/>
        <v>0</v>
      </c>
      <c r="BN35" s="397">
        <f t="shared" si="6"/>
        <v>0</v>
      </c>
      <c r="BO35" s="397">
        <f t="shared" si="7"/>
        <v>0</v>
      </c>
      <c r="BP35" s="397">
        <f t="shared" si="8"/>
        <v>0</v>
      </c>
      <c r="BQ35" s="397">
        <f t="shared" si="9"/>
        <v>0</v>
      </c>
      <c r="BR35" s="397">
        <f t="shared" si="10"/>
        <v>0</v>
      </c>
      <c r="BS35" s="397">
        <f t="shared" si="11"/>
        <v>0</v>
      </c>
      <c r="BT35" s="397">
        <f t="shared" si="12"/>
        <v>0</v>
      </c>
      <c r="BU35" s="397">
        <f t="shared" si="13"/>
        <v>0</v>
      </c>
      <c r="BV35" s="397">
        <f t="shared" si="14"/>
        <v>0</v>
      </c>
      <c r="BW35" s="397">
        <f t="shared" si="15"/>
        <v>0</v>
      </c>
      <c r="BX35" s="397">
        <f t="shared" si="16"/>
        <v>0</v>
      </c>
      <c r="BY35" s="397">
        <f t="shared" si="17"/>
        <v>0</v>
      </c>
      <c r="BZ35" s="397">
        <f t="shared" si="18"/>
        <v>0</v>
      </c>
      <c r="CA35" s="397">
        <f t="shared" si="19"/>
        <v>0</v>
      </c>
      <c r="CB35" s="397">
        <f t="shared" si="20"/>
        <v>0</v>
      </c>
      <c r="CC35" s="391">
        <v>39984</v>
      </c>
      <c r="CD35" s="397">
        <f t="shared" si="44"/>
        <v>0</v>
      </c>
      <c r="CE35" s="397">
        <f t="shared" si="45"/>
        <v>0</v>
      </c>
      <c r="CF35" s="397">
        <f t="shared" si="46"/>
        <v>0</v>
      </c>
      <c r="CG35" s="397">
        <f t="shared" si="47"/>
        <v>0</v>
      </c>
      <c r="CH35" s="397">
        <f t="shared" si="48"/>
        <v>0</v>
      </c>
      <c r="CI35" s="397">
        <f t="shared" si="49"/>
        <v>0</v>
      </c>
      <c r="CJ35" s="397" t="e">
        <f t="shared" si="50"/>
        <v>#REF!</v>
      </c>
      <c r="CK35" s="397">
        <f t="shared" si="51"/>
        <v>0</v>
      </c>
      <c r="CL35" s="397">
        <f t="shared" si="52"/>
        <v>0</v>
      </c>
      <c r="CM35" s="397">
        <f t="shared" si="53"/>
        <v>0</v>
      </c>
      <c r="CN35" s="397">
        <f t="shared" si="54"/>
        <v>0</v>
      </c>
      <c r="CO35" s="397">
        <f t="shared" si="55"/>
        <v>0</v>
      </c>
      <c r="CP35" s="397">
        <f t="shared" si="56"/>
        <v>0</v>
      </c>
      <c r="CQ35" s="397">
        <f t="shared" si="57"/>
        <v>0</v>
      </c>
      <c r="CR35" s="397">
        <f t="shared" si="58"/>
        <v>0</v>
      </c>
      <c r="CS35" s="397">
        <f t="shared" si="59"/>
        <v>0</v>
      </c>
      <c r="CT35" s="398" t="e">
        <f t="shared" si="60"/>
        <v>#REF!</v>
      </c>
      <c r="CV35" s="391">
        <v>39984</v>
      </c>
      <c r="CW35" s="399">
        <f>+CW$3-SUM(AU$4:AU35)-0.02</f>
        <v>-1.9073486328541334E-8</v>
      </c>
      <c r="CX35" s="399">
        <f>+CX$3-SUM(AV$4:AV35)</f>
        <v>0</v>
      </c>
      <c r="CY35" s="399">
        <f>+CY$3-SUM(AW$4:AW35)</f>
        <v>0</v>
      </c>
      <c r="CZ35" s="399">
        <f>+CZ$3-SUM(AX$4:AX35)</f>
        <v>736024967.13</v>
      </c>
      <c r="DA35" s="399">
        <f>+DA$3-SUM(AY$4:AY35)</f>
        <v>1139656560.24</v>
      </c>
      <c r="DB35" s="399">
        <f>+DB$3-SUM(AZ$4:AZ35)</f>
        <v>547472191.47000003</v>
      </c>
      <c r="DC35" s="399" t="e">
        <f>+DC$3-SUM(BA$4:BA35)</f>
        <v>#REF!</v>
      </c>
      <c r="DD35" s="399">
        <f>+DD$3-SUM(BB$4:BB35)</f>
        <v>0</v>
      </c>
      <c r="DE35" s="399">
        <f>+DE$3-SUM(BC$4:BC35)</f>
        <v>112020391.73999999</v>
      </c>
      <c r="DF35" s="399">
        <f>+DF$3-SUM(BD$4:BD35)</f>
        <v>23000000</v>
      </c>
      <c r="DG35" s="399">
        <f>+DG$3-SUM(BE$4:BE35)</f>
        <v>0</v>
      </c>
      <c r="DH35" s="399">
        <f>+DH$3-SUM(BF$4:BF35)</f>
        <v>61041051.780000001</v>
      </c>
      <c r="DI35" s="399">
        <f>+DI$3-SUM(BG$4:BG35)</f>
        <v>56000000</v>
      </c>
      <c r="DJ35" s="399">
        <f>+DJ$3-SUM(BH$4:BH35)</f>
        <v>36902314.299999997</v>
      </c>
      <c r="DK35" s="399">
        <f>+DK$3-SUM(BI$4:BI35)</f>
        <v>141534746.44</v>
      </c>
      <c r="DL35" s="399">
        <f>+DL$3-SUM(BJ$4:BJ35)</f>
        <v>20000000</v>
      </c>
    </row>
    <row r="36" spans="1:116" s="106" customFormat="1">
      <c r="A36" s="391">
        <v>40014</v>
      </c>
      <c r="B36" s="393">
        <v>0</v>
      </c>
      <c r="C36" s="393">
        <v>0</v>
      </c>
      <c r="D36" s="393">
        <v>0</v>
      </c>
      <c r="E36" s="393">
        <v>736024967.12444663</v>
      </c>
      <c r="F36" s="393">
        <v>1139656560.236115</v>
      </c>
      <c r="G36" s="393">
        <v>547472191.47029364</v>
      </c>
      <c r="H36" s="393">
        <v>500000000</v>
      </c>
      <c r="I36" s="393">
        <v>0</v>
      </c>
      <c r="J36" s="393">
        <v>112020391.73598069</v>
      </c>
      <c r="K36" s="393">
        <v>23000000</v>
      </c>
      <c r="L36" s="393">
        <v>0</v>
      </c>
      <c r="M36" s="393">
        <v>61041051.784276903</v>
      </c>
      <c r="N36" s="393">
        <v>56000000</v>
      </c>
      <c r="O36" s="393">
        <v>36902314.302282669</v>
      </c>
      <c r="P36" s="393">
        <v>141534746.44486183</v>
      </c>
      <c r="Q36" s="393">
        <v>20000000</v>
      </c>
      <c r="R36" s="394">
        <f t="shared" si="2"/>
        <v>3373652223.0982575</v>
      </c>
      <c r="S36" s="391">
        <v>40014</v>
      </c>
      <c r="T36" s="395">
        <f t="shared" si="23"/>
        <v>0</v>
      </c>
      <c r="U36" s="395">
        <f t="shared" si="24"/>
        <v>0</v>
      </c>
      <c r="V36" s="395">
        <f t="shared" si="25"/>
        <v>0</v>
      </c>
      <c r="W36" s="395">
        <f t="shared" si="26"/>
        <v>0</v>
      </c>
      <c r="X36" s="395">
        <f t="shared" si="27"/>
        <v>0</v>
      </c>
      <c r="Y36" s="395">
        <f t="shared" si="28"/>
        <v>0</v>
      </c>
      <c r="Z36" s="395">
        <f t="shared" si="29"/>
        <v>0</v>
      </c>
      <c r="AA36" s="395">
        <f t="shared" si="30"/>
        <v>0</v>
      </c>
      <c r="AB36" s="395">
        <f t="shared" si="31"/>
        <v>0</v>
      </c>
      <c r="AC36" s="395">
        <f t="shared" si="32"/>
        <v>0</v>
      </c>
      <c r="AD36" s="395">
        <f t="shared" si="33"/>
        <v>0</v>
      </c>
      <c r="AE36" s="395">
        <f t="shared" si="34"/>
        <v>0</v>
      </c>
      <c r="AF36" s="395">
        <f t="shared" si="35"/>
        <v>0</v>
      </c>
      <c r="AG36" s="395">
        <f t="shared" si="36"/>
        <v>0</v>
      </c>
      <c r="AH36" s="395">
        <f t="shared" si="37"/>
        <v>0</v>
      </c>
      <c r="AI36" s="395">
        <f t="shared" si="38"/>
        <v>0</v>
      </c>
      <c r="AJ36" s="395">
        <f t="shared" si="39"/>
        <v>0</v>
      </c>
      <c r="AK36" s="396"/>
      <c r="AL36" s="391">
        <v>40014</v>
      </c>
      <c r="AM36" s="397">
        <f t="shared" si="40"/>
        <v>2923153718.8308554</v>
      </c>
      <c r="AN36" s="397">
        <f t="shared" si="41"/>
        <v>135020391.73598069</v>
      </c>
      <c r="AO36" s="397">
        <f t="shared" si="42"/>
        <v>117041051.7842769</v>
      </c>
      <c r="AP36" s="397">
        <f t="shared" si="43"/>
        <v>198437060.74714449</v>
      </c>
      <c r="AQ36" s="397">
        <f t="shared" si="4"/>
        <v>3373652223.0982575</v>
      </c>
      <c r="AR36" s="353"/>
      <c r="AT36" s="391">
        <v>40014</v>
      </c>
      <c r="AU36" s="63">
        <v>0</v>
      </c>
      <c r="AV36" s="63">
        <v>0</v>
      </c>
      <c r="AW36" s="63">
        <v>0</v>
      </c>
      <c r="AX36" s="63">
        <v>0</v>
      </c>
      <c r="AY36" s="63">
        <v>0</v>
      </c>
      <c r="AZ36" s="63">
        <v>0</v>
      </c>
      <c r="BA36" s="63">
        <v>0</v>
      </c>
      <c r="BB36" s="63">
        <v>0</v>
      </c>
      <c r="BC36" s="63">
        <v>0</v>
      </c>
      <c r="BD36" s="63">
        <v>0</v>
      </c>
      <c r="BE36" s="63">
        <v>0</v>
      </c>
      <c r="BF36" s="63">
        <v>0</v>
      </c>
      <c r="BG36" s="63">
        <v>0</v>
      </c>
      <c r="BH36" s="63">
        <v>0</v>
      </c>
      <c r="BI36" s="63">
        <v>0</v>
      </c>
      <c r="BJ36" s="63">
        <v>0</v>
      </c>
      <c r="BL36" s="391">
        <v>40014</v>
      </c>
      <c r="BM36" s="397">
        <f t="shared" si="5"/>
        <v>0</v>
      </c>
      <c r="BN36" s="397">
        <f t="shared" si="6"/>
        <v>0</v>
      </c>
      <c r="BO36" s="397">
        <f t="shared" si="7"/>
        <v>0</v>
      </c>
      <c r="BP36" s="397">
        <f t="shared" si="8"/>
        <v>0</v>
      </c>
      <c r="BQ36" s="397">
        <f t="shared" si="9"/>
        <v>0</v>
      </c>
      <c r="BR36" s="397">
        <f t="shared" si="10"/>
        <v>0</v>
      </c>
      <c r="BS36" s="397">
        <f t="shared" si="11"/>
        <v>0</v>
      </c>
      <c r="BT36" s="397">
        <f t="shared" si="12"/>
        <v>0</v>
      </c>
      <c r="BU36" s="397">
        <f t="shared" si="13"/>
        <v>0</v>
      </c>
      <c r="BV36" s="397">
        <f t="shared" si="14"/>
        <v>0</v>
      </c>
      <c r="BW36" s="397">
        <f t="shared" si="15"/>
        <v>0</v>
      </c>
      <c r="BX36" s="397">
        <f t="shared" si="16"/>
        <v>0</v>
      </c>
      <c r="BY36" s="397">
        <f t="shared" si="17"/>
        <v>0</v>
      </c>
      <c r="BZ36" s="397">
        <f t="shared" si="18"/>
        <v>0</v>
      </c>
      <c r="CA36" s="397">
        <f t="shared" si="19"/>
        <v>0</v>
      </c>
      <c r="CB36" s="397">
        <f t="shared" si="20"/>
        <v>0</v>
      </c>
      <c r="CC36" s="391">
        <v>40014</v>
      </c>
      <c r="CD36" s="397">
        <f t="shared" si="44"/>
        <v>0</v>
      </c>
      <c r="CE36" s="397">
        <f t="shared" si="45"/>
        <v>0</v>
      </c>
      <c r="CF36" s="397">
        <f t="shared" si="46"/>
        <v>0</v>
      </c>
      <c r="CG36" s="397">
        <f t="shared" si="47"/>
        <v>0</v>
      </c>
      <c r="CH36" s="397">
        <f t="shared" si="48"/>
        <v>0</v>
      </c>
      <c r="CI36" s="397">
        <f t="shared" si="49"/>
        <v>0</v>
      </c>
      <c r="CJ36" s="397" t="e">
        <f t="shared" si="50"/>
        <v>#REF!</v>
      </c>
      <c r="CK36" s="397">
        <f t="shared" si="51"/>
        <v>0</v>
      </c>
      <c r="CL36" s="397">
        <f t="shared" si="52"/>
        <v>0</v>
      </c>
      <c r="CM36" s="397">
        <f t="shared" si="53"/>
        <v>0</v>
      </c>
      <c r="CN36" s="397">
        <f t="shared" si="54"/>
        <v>0</v>
      </c>
      <c r="CO36" s="397">
        <f t="shared" si="55"/>
        <v>0</v>
      </c>
      <c r="CP36" s="397">
        <f t="shared" si="56"/>
        <v>0</v>
      </c>
      <c r="CQ36" s="397">
        <f t="shared" si="57"/>
        <v>0</v>
      </c>
      <c r="CR36" s="397">
        <f t="shared" si="58"/>
        <v>0</v>
      </c>
      <c r="CS36" s="397">
        <f t="shared" si="59"/>
        <v>0</v>
      </c>
      <c r="CT36" s="398" t="e">
        <f t="shared" si="60"/>
        <v>#REF!</v>
      </c>
      <c r="CV36" s="391">
        <v>40014</v>
      </c>
      <c r="CW36" s="399">
        <f>+CW$3-SUM(AU$4:AU36)-0.02</f>
        <v>-1.9073486328541334E-8</v>
      </c>
      <c r="CX36" s="399">
        <f>+CX$3-SUM(AV$4:AV36)</f>
        <v>0</v>
      </c>
      <c r="CY36" s="399">
        <f>+CY$3-SUM(AW$4:AW36)</f>
        <v>0</v>
      </c>
      <c r="CZ36" s="399">
        <f>+CZ$3-SUM(AX$4:AX36)</f>
        <v>736024967.13</v>
      </c>
      <c r="DA36" s="399">
        <f>+DA$3-SUM(AY$4:AY36)</f>
        <v>1139656560.24</v>
      </c>
      <c r="DB36" s="399">
        <f>+DB$3-SUM(AZ$4:AZ36)</f>
        <v>547472191.47000003</v>
      </c>
      <c r="DC36" s="399" t="e">
        <f>+DC$3-SUM(BA$4:BA36)</f>
        <v>#REF!</v>
      </c>
      <c r="DD36" s="399">
        <f>+DD$3-SUM(BB$4:BB36)</f>
        <v>0</v>
      </c>
      <c r="DE36" s="399">
        <f>+DE$3-SUM(BC$4:BC36)</f>
        <v>112020391.73999999</v>
      </c>
      <c r="DF36" s="399">
        <f>+DF$3-SUM(BD$4:BD36)</f>
        <v>23000000</v>
      </c>
      <c r="DG36" s="399">
        <f>+DG$3-SUM(BE$4:BE36)</f>
        <v>0</v>
      </c>
      <c r="DH36" s="399">
        <f>+DH$3-SUM(BF$4:BF36)</f>
        <v>61041051.780000001</v>
      </c>
      <c r="DI36" s="399">
        <f>+DI$3-SUM(BG$4:BG36)</f>
        <v>56000000</v>
      </c>
      <c r="DJ36" s="399">
        <f>+DJ$3-SUM(BH$4:BH36)</f>
        <v>36902314.299999997</v>
      </c>
      <c r="DK36" s="399">
        <f>+DK$3-SUM(BI$4:BI36)</f>
        <v>141534746.44</v>
      </c>
      <c r="DL36" s="399">
        <f>+DL$3-SUM(BJ$4:BJ36)</f>
        <v>20000000</v>
      </c>
    </row>
    <row r="37" spans="1:116" s="106" customFormat="1">
      <c r="A37" s="391">
        <v>40045</v>
      </c>
      <c r="B37" s="393">
        <v>0</v>
      </c>
      <c r="C37" s="393">
        <v>0</v>
      </c>
      <c r="D37" s="393">
        <v>0</v>
      </c>
      <c r="E37" s="393">
        <v>552828155.93498325</v>
      </c>
      <c r="F37" s="393">
        <v>1139656560.236115</v>
      </c>
      <c r="G37" s="393">
        <v>547472191.47029364</v>
      </c>
      <c r="H37" s="393">
        <v>500000000</v>
      </c>
      <c r="I37" s="393">
        <v>0</v>
      </c>
      <c r="J37" s="393">
        <v>112020391.73598069</v>
      </c>
      <c r="K37" s="393">
        <v>23000000</v>
      </c>
      <c r="L37" s="393">
        <v>0</v>
      </c>
      <c r="M37" s="393">
        <v>61041051.784276903</v>
      </c>
      <c r="N37" s="393">
        <v>56000000</v>
      </c>
      <c r="O37" s="393">
        <v>36902314.302282669</v>
      </c>
      <c r="P37" s="393">
        <v>141534746.44486183</v>
      </c>
      <c r="Q37" s="393">
        <v>20000000</v>
      </c>
      <c r="R37" s="394">
        <f t="shared" si="2"/>
        <v>3190455411.9087939</v>
      </c>
      <c r="S37" s="391">
        <v>40045</v>
      </c>
      <c r="T37" s="395">
        <f t="shared" si="23"/>
        <v>0</v>
      </c>
      <c r="U37" s="395">
        <f t="shared" si="24"/>
        <v>0</v>
      </c>
      <c r="V37" s="395">
        <f t="shared" si="25"/>
        <v>0</v>
      </c>
      <c r="W37" s="395">
        <f t="shared" si="26"/>
        <v>183196811.19</v>
      </c>
      <c r="X37" s="395">
        <f t="shared" si="27"/>
        <v>0</v>
      </c>
      <c r="Y37" s="395">
        <f t="shared" si="28"/>
        <v>0</v>
      </c>
      <c r="Z37" s="395">
        <f t="shared" si="29"/>
        <v>0</v>
      </c>
      <c r="AA37" s="395">
        <f t="shared" si="30"/>
        <v>0</v>
      </c>
      <c r="AB37" s="395">
        <f t="shared" si="31"/>
        <v>0</v>
      </c>
      <c r="AC37" s="395">
        <f t="shared" si="32"/>
        <v>0</v>
      </c>
      <c r="AD37" s="395">
        <f t="shared" si="33"/>
        <v>0</v>
      </c>
      <c r="AE37" s="395">
        <f t="shared" si="34"/>
        <v>0</v>
      </c>
      <c r="AF37" s="395">
        <f t="shared" si="35"/>
        <v>0</v>
      </c>
      <c r="AG37" s="395">
        <f t="shared" si="36"/>
        <v>0</v>
      </c>
      <c r="AH37" s="395">
        <f t="shared" si="37"/>
        <v>0</v>
      </c>
      <c r="AI37" s="395">
        <f t="shared" si="38"/>
        <v>0</v>
      </c>
      <c r="AJ37" s="395">
        <f t="shared" si="39"/>
        <v>183196811.19</v>
      </c>
      <c r="AK37" s="396"/>
      <c r="AL37" s="391">
        <v>40045</v>
      </c>
      <c r="AM37" s="397">
        <f t="shared" si="40"/>
        <v>2739956907.6413918</v>
      </c>
      <c r="AN37" s="397">
        <f t="shared" si="41"/>
        <v>135020391.73598069</v>
      </c>
      <c r="AO37" s="397">
        <f t="shared" si="42"/>
        <v>117041051.7842769</v>
      </c>
      <c r="AP37" s="397">
        <f t="shared" si="43"/>
        <v>198437060.74714449</v>
      </c>
      <c r="AQ37" s="397">
        <f t="shared" si="4"/>
        <v>3190455411.9087939</v>
      </c>
      <c r="AR37" s="353"/>
      <c r="AT37" s="391">
        <v>40045</v>
      </c>
      <c r="AU37" s="63">
        <v>0</v>
      </c>
      <c r="AV37" s="63">
        <v>0</v>
      </c>
      <c r="AW37" s="63">
        <v>0</v>
      </c>
      <c r="AX37" s="85">
        <v>183196811.19</v>
      </c>
      <c r="AY37" s="63">
        <v>0</v>
      </c>
      <c r="AZ37" s="63">
        <v>0</v>
      </c>
      <c r="BA37" s="63">
        <v>0</v>
      </c>
      <c r="BB37" s="63">
        <v>0</v>
      </c>
      <c r="BC37" s="63">
        <v>0</v>
      </c>
      <c r="BD37" s="63">
        <v>0</v>
      </c>
      <c r="BE37" s="63">
        <v>0</v>
      </c>
      <c r="BF37" s="63">
        <v>0</v>
      </c>
      <c r="BG37" s="63">
        <v>0</v>
      </c>
      <c r="BH37" s="63">
        <v>0</v>
      </c>
      <c r="BI37" s="63">
        <v>0</v>
      </c>
      <c r="BJ37" s="63">
        <v>0</v>
      </c>
      <c r="BL37" s="391">
        <v>40045</v>
      </c>
      <c r="BM37" s="397">
        <f t="shared" si="5"/>
        <v>0</v>
      </c>
      <c r="BN37" s="397">
        <f t="shared" si="6"/>
        <v>0</v>
      </c>
      <c r="BO37" s="397">
        <f t="shared" si="7"/>
        <v>0</v>
      </c>
      <c r="BP37" s="397">
        <f t="shared" si="8"/>
        <v>0</v>
      </c>
      <c r="BQ37" s="397">
        <f t="shared" si="9"/>
        <v>0</v>
      </c>
      <c r="BR37" s="397">
        <f t="shared" si="10"/>
        <v>0</v>
      </c>
      <c r="BS37" s="397">
        <f t="shared" si="11"/>
        <v>0</v>
      </c>
      <c r="BT37" s="397">
        <f t="shared" si="12"/>
        <v>0</v>
      </c>
      <c r="BU37" s="397">
        <f t="shared" si="13"/>
        <v>0</v>
      </c>
      <c r="BV37" s="397">
        <f t="shared" si="14"/>
        <v>0</v>
      </c>
      <c r="BW37" s="397">
        <f t="shared" si="15"/>
        <v>0</v>
      </c>
      <c r="BX37" s="397">
        <f t="shared" si="16"/>
        <v>0</v>
      </c>
      <c r="BY37" s="397">
        <f t="shared" si="17"/>
        <v>0</v>
      </c>
      <c r="BZ37" s="397">
        <f t="shared" si="18"/>
        <v>0</v>
      </c>
      <c r="CA37" s="397">
        <f t="shared" si="19"/>
        <v>0</v>
      </c>
      <c r="CB37" s="397">
        <f t="shared" si="20"/>
        <v>0</v>
      </c>
      <c r="CC37" s="391">
        <v>40045</v>
      </c>
      <c r="CD37" s="397">
        <f t="shared" ref="CD37:CD68" si="61">+CD36+BM37</f>
        <v>0</v>
      </c>
      <c r="CE37" s="397">
        <f t="shared" ref="CE37:CE68" si="62">+CE36+BN37</f>
        <v>0</v>
      </c>
      <c r="CF37" s="397">
        <f t="shared" ref="CF37:CF68" si="63">+CF36+BO37</f>
        <v>0</v>
      </c>
      <c r="CG37" s="397">
        <f t="shared" ref="CG37:CG68" si="64">+CG36+BP37</f>
        <v>0</v>
      </c>
      <c r="CH37" s="397">
        <f t="shared" ref="CH37:CH68" si="65">+CH36+BQ37</f>
        <v>0</v>
      </c>
      <c r="CI37" s="397">
        <f t="shared" ref="CI37:CI68" si="66">+CI36+BR37</f>
        <v>0</v>
      </c>
      <c r="CJ37" s="397" t="e">
        <f t="shared" ref="CJ37:CJ68" si="67">+CJ36+BS37</f>
        <v>#REF!</v>
      </c>
      <c r="CK37" s="397">
        <f t="shared" ref="CK37:CK68" si="68">+CK36+BT37</f>
        <v>0</v>
      </c>
      <c r="CL37" s="397">
        <f t="shared" ref="CL37:CL68" si="69">+CL36+BU37</f>
        <v>0</v>
      </c>
      <c r="CM37" s="397">
        <f t="shared" ref="CM37:CM68" si="70">+CM36+BV37</f>
        <v>0</v>
      </c>
      <c r="CN37" s="397">
        <f t="shared" ref="CN37:CN68" si="71">+CN36+BW37</f>
        <v>0</v>
      </c>
      <c r="CO37" s="397">
        <f t="shared" ref="CO37:CO68" si="72">+CO36+BX37</f>
        <v>0</v>
      </c>
      <c r="CP37" s="397">
        <f t="shared" ref="CP37:CP68" si="73">+CP36+BY37</f>
        <v>0</v>
      </c>
      <c r="CQ37" s="397">
        <f t="shared" ref="CQ37:CQ68" si="74">+CQ36+BZ37</f>
        <v>0</v>
      </c>
      <c r="CR37" s="397">
        <f t="shared" ref="CR37:CR68" si="75">+CR36+CA37</f>
        <v>0</v>
      </c>
      <c r="CS37" s="397">
        <f t="shared" ref="CS37:CS68" si="76">+CS36+CB37</f>
        <v>0</v>
      </c>
      <c r="CT37" s="398" t="e">
        <f t="shared" si="60"/>
        <v>#REF!</v>
      </c>
      <c r="CV37" s="391">
        <v>40045</v>
      </c>
      <c r="CW37" s="399">
        <f>+CW$3-SUM(AU$4:AU37)-0.02</f>
        <v>-1.9073486328541334E-8</v>
      </c>
      <c r="CX37" s="399">
        <f>+CX$3-SUM(AV$4:AV37)</f>
        <v>0</v>
      </c>
      <c r="CY37" s="399">
        <f>+CY$3-SUM(AW$4:AW37)</f>
        <v>0</v>
      </c>
      <c r="CZ37" s="399">
        <f>+CZ$3-SUM(AX$4:AX37)</f>
        <v>552828155.94000006</v>
      </c>
      <c r="DA37" s="399">
        <f>+DA$3-SUM(AY$4:AY37)</f>
        <v>1139656560.24</v>
      </c>
      <c r="DB37" s="399">
        <f>+DB$3-SUM(AZ$4:AZ37)</f>
        <v>547472191.47000003</v>
      </c>
      <c r="DC37" s="399" t="e">
        <f>+DC$3-SUM(BA$4:BA37)</f>
        <v>#REF!</v>
      </c>
      <c r="DD37" s="399">
        <f>+DD$3-SUM(BB$4:BB37)</f>
        <v>0</v>
      </c>
      <c r="DE37" s="399">
        <f>+DE$3-SUM(BC$4:BC37)</f>
        <v>112020391.73999999</v>
      </c>
      <c r="DF37" s="399">
        <f>+DF$3-SUM(BD$4:BD37)</f>
        <v>23000000</v>
      </c>
      <c r="DG37" s="399">
        <f>+DG$3-SUM(BE$4:BE37)</f>
        <v>0</v>
      </c>
      <c r="DH37" s="399">
        <f>+DH$3-SUM(BF$4:BF37)</f>
        <v>61041051.780000001</v>
      </c>
      <c r="DI37" s="399">
        <f>+DI$3-SUM(BG$4:BG37)</f>
        <v>56000000</v>
      </c>
      <c r="DJ37" s="399">
        <f>+DJ$3-SUM(BH$4:BH37)</f>
        <v>36902314.299999997</v>
      </c>
      <c r="DK37" s="399">
        <f>+DK$3-SUM(BI$4:BI37)</f>
        <v>141534746.44</v>
      </c>
      <c r="DL37" s="399">
        <f>+DL$3-SUM(BJ$4:BJ37)</f>
        <v>20000000</v>
      </c>
    </row>
    <row r="38" spans="1:116" s="106" customFormat="1">
      <c r="A38" s="391">
        <v>40076</v>
      </c>
      <c r="B38" s="393">
        <v>0</v>
      </c>
      <c r="C38" s="393">
        <v>0</v>
      </c>
      <c r="D38" s="393">
        <v>0</v>
      </c>
      <c r="E38" s="393">
        <v>552828155.93498325</v>
      </c>
      <c r="F38" s="393">
        <v>1139656560.236115</v>
      </c>
      <c r="G38" s="393">
        <v>547472191.47029364</v>
      </c>
      <c r="H38" s="393">
        <v>500000000</v>
      </c>
      <c r="I38" s="393">
        <v>0</v>
      </c>
      <c r="J38" s="393">
        <v>112020391.73598069</v>
      </c>
      <c r="K38" s="393">
        <v>23000000</v>
      </c>
      <c r="L38" s="393">
        <v>0</v>
      </c>
      <c r="M38" s="393">
        <v>61041051.784276903</v>
      </c>
      <c r="N38" s="393">
        <v>56000000</v>
      </c>
      <c r="O38" s="393">
        <v>36902314.302282669</v>
      </c>
      <c r="P38" s="393">
        <v>141534746.44486183</v>
      </c>
      <c r="Q38" s="393">
        <v>20000000</v>
      </c>
      <c r="R38" s="394">
        <f t="shared" si="2"/>
        <v>3190455411.9087939</v>
      </c>
      <c r="S38" s="391">
        <v>40076</v>
      </c>
      <c r="T38" s="395">
        <f t="shared" si="23"/>
        <v>0</v>
      </c>
      <c r="U38" s="395">
        <f t="shared" si="24"/>
        <v>0</v>
      </c>
      <c r="V38" s="395">
        <f t="shared" si="25"/>
        <v>0</v>
      </c>
      <c r="W38" s="395">
        <f t="shared" si="26"/>
        <v>0</v>
      </c>
      <c r="X38" s="395">
        <f t="shared" si="27"/>
        <v>0</v>
      </c>
      <c r="Y38" s="395">
        <f t="shared" si="28"/>
        <v>0</v>
      </c>
      <c r="Z38" s="395">
        <f t="shared" si="29"/>
        <v>0</v>
      </c>
      <c r="AA38" s="395">
        <f t="shared" si="30"/>
        <v>0</v>
      </c>
      <c r="AB38" s="395">
        <f t="shared" si="31"/>
        <v>0</v>
      </c>
      <c r="AC38" s="395">
        <f t="shared" si="32"/>
        <v>0</v>
      </c>
      <c r="AD38" s="395">
        <f t="shared" si="33"/>
        <v>0</v>
      </c>
      <c r="AE38" s="395">
        <f t="shared" si="34"/>
        <v>0</v>
      </c>
      <c r="AF38" s="395">
        <f t="shared" si="35"/>
        <v>0</v>
      </c>
      <c r="AG38" s="395">
        <f t="shared" si="36"/>
        <v>0</v>
      </c>
      <c r="AH38" s="395">
        <f t="shared" si="37"/>
        <v>0</v>
      </c>
      <c r="AI38" s="395">
        <f t="shared" si="38"/>
        <v>0</v>
      </c>
      <c r="AJ38" s="395">
        <f t="shared" si="39"/>
        <v>0</v>
      </c>
      <c r="AK38" s="396"/>
      <c r="AL38" s="391">
        <v>40076</v>
      </c>
      <c r="AM38" s="397">
        <f t="shared" si="40"/>
        <v>2739956907.6413918</v>
      </c>
      <c r="AN38" s="397">
        <f t="shared" si="41"/>
        <v>135020391.73598069</v>
      </c>
      <c r="AO38" s="397">
        <f t="shared" si="42"/>
        <v>117041051.7842769</v>
      </c>
      <c r="AP38" s="397">
        <f t="shared" si="43"/>
        <v>198437060.74714449</v>
      </c>
      <c r="AQ38" s="397">
        <f t="shared" si="4"/>
        <v>3190455411.9087939</v>
      </c>
      <c r="AR38" s="353"/>
      <c r="AT38" s="391">
        <v>40076</v>
      </c>
      <c r="AU38" s="63">
        <v>0</v>
      </c>
      <c r="AV38" s="63">
        <v>0</v>
      </c>
      <c r="AW38" s="63">
        <v>0</v>
      </c>
      <c r="AX38" s="63">
        <v>0</v>
      </c>
      <c r="AY38" s="63">
        <v>0</v>
      </c>
      <c r="AZ38" s="63">
        <v>0</v>
      </c>
      <c r="BA38" s="63">
        <v>0</v>
      </c>
      <c r="BB38" s="63">
        <v>0</v>
      </c>
      <c r="BC38" s="63">
        <v>0</v>
      </c>
      <c r="BD38" s="63">
        <v>0</v>
      </c>
      <c r="BE38" s="63">
        <v>0</v>
      </c>
      <c r="BF38" s="63">
        <v>0</v>
      </c>
      <c r="BG38" s="63">
        <v>0</v>
      </c>
      <c r="BH38" s="63">
        <v>0</v>
      </c>
      <c r="BI38" s="63">
        <v>0</v>
      </c>
      <c r="BJ38" s="63">
        <v>0</v>
      </c>
      <c r="BL38" s="391">
        <v>40076</v>
      </c>
      <c r="BM38" s="397">
        <f t="shared" si="5"/>
        <v>0</v>
      </c>
      <c r="BN38" s="397">
        <f t="shared" si="6"/>
        <v>0</v>
      </c>
      <c r="BO38" s="397">
        <f t="shared" si="7"/>
        <v>0</v>
      </c>
      <c r="BP38" s="397">
        <f t="shared" si="8"/>
        <v>0</v>
      </c>
      <c r="BQ38" s="397">
        <f t="shared" si="9"/>
        <v>0</v>
      </c>
      <c r="BR38" s="397">
        <f t="shared" si="10"/>
        <v>0</v>
      </c>
      <c r="BS38" s="397">
        <f t="shared" si="11"/>
        <v>0</v>
      </c>
      <c r="BT38" s="397">
        <f t="shared" si="12"/>
        <v>0</v>
      </c>
      <c r="BU38" s="397">
        <f t="shared" si="13"/>
        <v>0</v>
      </c>
      <c r="BV38" s="397">
        <f t="shared" si="14"/>
        <v>0</v>
      </c>
      <c r="BW38" s="397">
        <f t="shared" si="15"/>
        <v>0</v>
      </c>
      <c r="BX38" s="397">
        <f t="shared" si="16"/>
        <v>0</v>
      </c>
      <c r="BY38" s="397">
        <f t="shared" si="17"/>
        <v>0</v>
      </c>
      <c r="BZ38" s="397">
        <f t="shared" si="18"/>
        <v>0</v>
      </c>
      <c r="CA38" s="397">
        <f t="shared" si="19"/>
        <v>0</v>
      </c>
      <c r="CB38" s="397">
        <f t="shared" si="20"/>
        <v>0</v>
      </c>
      <c r="CC38" s="391">
        <v>40076</v>
      </c>
      <c r="CD38" s="397">
        <f t="shared" si="61"/>
        <v>0</v>
      </c>
      <c r="CE38" s="397">
        <f t="shared" si="62"/>
        <v>0</v>
      </c>
      <c r="CF38" s="397">
        <f t="shared" si="63"/>
        <v>0</v>
      </c>
      <c r="CG38" s="397">
        <f t="shared" si="64"/>
        <v>0</v>
      </c>
      <c r="CH38" s="397">
        <f t="shared" si="65"/>
        <v>0</v>
      </c>
      <c r="CI38" s="397">
        <f t="shared" si="66"/>
        <v>0</v>
      </c>
      <c r="CJ38" s="397" t="e">
        <f t="shared" si="67"/>
        <v>#REF!</v>
      </c>
      <c r="CK38" s="397">
        <f t="shared" si="68"/>
        <v>0</v>
      </c>
      <c r="CL38" s="397">
        <f t="shared" si="69"/>
        <v>0</v>
      </c>
      <c r="CM38" s="397">
        <f t="shared" si="70"/>
        <v>0</v>
      </c>
      <c r="CN38" s="397">
        <f t="shared" si="71"/>
        <v>0</v>
      </c>
      <c r="CO38" s="397">
        <f t="shared" si="72"/>
        <v>0</v>
      </c>
      <c r="CP38" s="397">
        <f t="shared" si="73"/>
        <v>0</v>
      </c>
      <c r="CQ38" s="397">
        <f t="shared" si="74"/>
        <v>0</v>
      </c>
      <c r="CR38" s="397">
        <f t="shared" si="75"/>
        <v>0</v>
      </c>
      <c r="CS38" s="397">
        <f t="shared" si="76"/>
        <v>0</v>
      </c>
      <c r="CT38" s="398" t="e">
        <f t="shared" si="60"/>
        <v>#REF!</v>
      </c>
      <c r="CV38" s="391">
        <v>40076</v>
      </c>
      <c r="CW38" s="399">
        <f>+CW$3-SUM(AU$4:AU38)-0.02</f>
        <v>-1.9073486328541334E-8</v>
      </c>
      <c r="CX38" s="399">
        <f>+CX$3-SUM(AV$4:AV38)</f>
        <v>0</v>
      </c>
      <c r="CY38" s="399">
        <f>+CY$3-SUM(AW$4:AW38)</f>
        <v>0</v>
      </c>
      <c r="CZ38" s="399">
        <f>+CZ$3-SUM(AX$4:AX38)</f>
        <v>552828155.94000006</v>
      </c>
      <c r="DA38" s="399">
        <f>+DA$3-SUM(AY$4:AY38)</f>
        <v>1139656560.24</v>
      </c>
      <c r="DB38" s="399">
        <f>+DB$3-SUM(AZ$4:AZ38)</f>
        <v>547472191.47000003</v>
      </c>
      <c r="DC38" s="399" t="e">
        <f>+DC$3-SUM(BA$4:BA38)</f>
        <v>#REF!</v>
      </c>
      <c r="DD38" s="399">
        <f>+DD$3-SUM(BB$4:BB38)</f>
        <v>0</v>
      </c>
      <c r="DE38" s="399">
        <f>+DE$3-SUM(BC$4:BC38)</f>
        <v>112020391.73999999</v>
      </c>
      <c r="DF38" s="399">
        <f>+DF$3-SUM(BD$4:BD38)</f>
        <v>23000000</v>
      </c>
      <c r="DG38" s="399">
        <f>+DG$3-SUM(BE$4:BE38)</f>
        <v>0</v>
      </c>
      <c r="DH38" s="399">
        <f>+DH$3-SUM(BF$4:BF38)</f>
        <v>61041051.780000001</v>
      </c>
      <c r="DI38" s="399">
        <f>+DI$3-SUM(BG$4:BG38)</f>
        <v>56000000</v>
      </c>
      <c r="DJ38" s="399">
        <f>+DJ$3-SUM(BH$4:BH38)</f>
        <v>36902314.299999997</v>
      </c>
      <c r="DK38" s="399">
        <f>+DK$3-SUM(BI$4:BI38)</f>
        <v>141534746.44</v>
      </c>
      <c r="DL38" s="399">
        <f>+DL$3-SUM(BJ$4:BJ38)</f>
        <v>20000000</v>
      </c>
    </row>
    <row r="39" spans="1:116" s="106" customFormat="1">
      <c r="A39" s="391">
        <v>40106</v>
      </c>
      <c r="B39" s="393">
        <v>0</v>
      </c>
      <c r="C39" s="393">
        <v>0</v>
      </c>
      <c r="D39" s="393">
        <v>0</v>
      </c>
      <c r="E39" s="393">
        <v>552828155.93498325</v>
      </c>
      <c r="F39" s="393">
        <v>1139656560.236115</v>
      </c>
      <c r="G39" s="393">
        <v>547472191.47029364</v>
      </c>
      <c r="H39" s="393">
        <v>500000000</v>
      </c>
      <c r="I39" s="393">
        <v>0</v>
      </c>
      <c r="J39" s="393">
        <v>112020391.73598069</v>
      </c>
      <c r="K39" s="393">
        <v>23000000</v>
      </c>
      <c r="L39" s="393">
        <v>0</v>
      </c>
      <c r="M39" s="393">
        <v>61041051.784276903</v>
      </c>
      <c r="N39" s="393">
        <v>56000000</v>
      </c>
      <c r="O39" s="393">
        <v>36902314.302282669</v>
      </c>
      <c r="P39" s="393">
        <v>141534746.44486183</v>
      </c>
      <c r="Q39" s="393">
        <v>20000000</v>
      </c>
      <c r="R39" s="394">
        <f t="shared" si="2"/>
        <v>3190455411.9087939</v>
      </c>
      <c r="S39" s="391">
        <v>40106</v>
      </c>
      <c r="T39" s="395">
        <f t="shared" si="23"/>
        <v>0</v>
      </c>
      <c r="U39" s="395">
        <f t="shared" si="24"/>
        <v>0</v>
      </c>
      <c r="V39" s="395">
        <f t="shared" si="25"/>
        <v>0</v>
      </c>
      <c r="W39" s="395">
        <f t="shared" si="26"/>
        <v>0</v>
      </c>
      <c r="X39" s="395">
        <f t="shared" si="27"/>
        <v>0</v>
      </c>
      <c r="Y39" s="395">
        <f t="shared" si="28"/>
        <v>0</v>
      </c>
      <c r="Z39" s="395">
        <f t="shared" si="29"/>
        <v>0</v>
      </c>
      <c r="AA39" s="395">
        <f t="shared" si="30"/>
        <v>0</v>
      </c>
      <c r="AB39" s="395">
        <f t="shared" si="31"/>
        <v>0</v>
      </c>
      <c r="AC39" s="395">
        <f t="shared" si="32"/>
        <v>0</v>
      </c>
      <c r="AD39" s="395">
        <f t="shared" si="33"/>
        <v>0</v>
      </c>
      <c r="AE39" s="395">
        <f t="shared" si="34"/>
        <v>0</v>
      </c>
      <c r="AF39" s="395">
        <f t="shared" si="35"/>
        <v>0</v>
      </c>
      <c r="AG39" s="395">
        <f t="shared" si="36"/>
        <v>0</v>
      </c>
      <c r="AH39" s="395">
        <f t="shared" si="37"/>
        <v>0</v>
      </c>
      <c r="AI39" s="395">
        <f t="shared" si="38"/>
        <v>0</v>
      </c>
      <c r="AJ39" s="395">
        <f t="shared" si="39"/>
        <v>0</v>
      </c>
      <c r="AK39" s="396"/>
      <c r="AL39" s="391">
        <v>40106</v>
      </c>
      <c r="AM39" s="397">
        <f t="shared" si="40"/>
        <v>2739956907.6413918</v>
      </c>
      <c r="AN39" s="397">
        <f t="shared" si="41"/>
        <v>135020391.73598069</v>
      </c>
      <c r="AO39" s="397">
        <f t="shared" si="42"/>
        <v>117041051.7842769</v>
      </c>
      <c r="AP39" s="397">
        <f t="shared" si="43"/>
        <v>198437060.74714449</v>
      </c>
      <c r="AQ39" s="397">
        <f t="shared" si="4"/>
        <v>3190455411.9087939</v>
      </c>
      <c r="AR39" s="353"/>
      <c r="AT39" s="391">
        <v>40106</v>
      </c>
      <c r="AU39" s="63">
        <v>0</v>
      </c>
      <c r="AV39" s="63">
        <v>0</v>
      </c>
      <c r="AW39" s="63">
        <v>0</v>
      </c>
      <c r="AX39" s="63">
        <v>0</v>
      </c>
      <c r="AY39" s="63">
        <v>0</v>
      </c>
      <c r="AZ39" s="63">
        <v>0</v>
      </c>
      <c r="BA39" s="63">
        <v>0</v>
      </c>
      <c r="BB39" s="63">
        <v>0</v>
      </c>
      <c r="BC39" s="63">
        <v>0</v>
      </c>
      <c r="BD39" s="63">
        <v>0</v>
      </c>
      <c r="BE39" s="63">
        <v>0</v>
      </c>
      <c r="BF39" s="63">
        <v>0</v>
      </c>
      <c r="BG39" s="63">
        <v>0</v>
      </c>
      <c r="BH39" s="63">
        <v>0</v>
      </c>
      <c r="BI39" s="63">
        <v>0</v>
      </c>
      <c r="BJ39" s="63">
        <v>0</v>
      </c>
      <c r="BL39" s="391">
        <v>40106</v>
      </c>
      <c r="BM39" s="397">
        <f t="shared" si="5"/>
        <v>0</v>
      </c>
      <c r="BN39" s="397">
        <f t="shared" si="6"/>
        <v>0</v>
      </c>
      <c r="BO39" s="397">
        <f t="shared" si="7"/>
        <v>0</v>
      </c>
      <c r="BP39" s="397">
        <f t="shared" si="8"/>
        <v>0</v>
      </c>
      <c r="BQ39" s="397">
        <f t="shared" si="9"/>
        <v>0</v>
      </c>
      <c r="BR39" s="397">
        <f t="shared" si="10"/>
        <v>0</v>
      </c>
      <c r="BS39" s="397">
        <f t="shared" si="11"/>
        <v>0</v>
      </c>
      <c r="BT39" s="397">
        <f t="shared" si="12"/>
        <v>0</v>
      </c>
      <c r="BU39" s="397">
        <f t="shared" si="13"/>
        <v>0</v>
      </c>
      <c r="BV39" s="397">
        <f t="shared" si="14"/>
        <v>0</v>
      </c>
      <c r="BW39" s="397">
        <f t="shared" si="15"/>
        <v>0</v>
      </c>
      <c r="BX39" s="397">
        <f t="shared" si="16"/>
        <v>0</v>
      </c>
      <c r="BY39" s="397">
        <f t="shared" si="17"/>
        <v>0</v>
      </c>
      <c r="BZ39" s="397">
        <f t="shared" si="18"/>
        <v>0</v>
      </c>
      <c r="CA39" s="397">
        <f t="shared" si="19"/>
        <v>0</v>
      </c>
      <c r="CB39" s="397">
        <f t="shared" si="20"/>
        <v>0</v>
      </c>
      <c r="CC39" s="391">
        <v>40106</v>
      </c>
      <c r="CD39" s="397">
        <f t="shared" si="61"/>
        <v>0</v>
      </c>
      <c r="CE39" s="397">
        <f t="shared" si="62"/>
        <v>0</v>
      </c>
      <c r="CF39" s="397">
        <f t="shared" si="63"/>
        <v>0</v>
      </c>
      <c r="CG39" s="397">
        <f t="shared" si="64"/>
        <v>0</v>
      </c>
      <c r="CH39" s="397">
        <f t="shared" si="65"/>
        <v>0</v>
      </c>
      <c r="CI39" s="397">
        <f t="shared" si="66"/>
        <v>0</v>
      </c>
      <c r="CJ39" s="397" t="e">
        <f t="shared" si="67"/>
        <v>#REF!</v>
      </c>
      <c r="CK39" s="397">
        <f t="shared" si="68"/>
        <v>0</v>
      </c>
      <c r="CL39" s="397">
        <f t="shared" si="69"/>
        <v>0</v>
      </c>
      <c r="CM39" s="397">
        <f t="shared" si="70"/>
        <v>0</v>
      </c>
      <c r="CN39" s="397">
        <f t="shared" si="71"/>
        <v>0</v>
      </c>
      <c r="CO39" s="397">
        <f t="shared" si="72"/>
        <v>0</v>
      </c>
      <c r="CP39" s="397">
        <f t="shared" si="73"/>
        <v>0</v>
      </c>
      <c r="CQ39" s="397">
        <f t="shared" si="74"/>
        <v>0</v>
      </c>
      <c r="CR39" s="397">
        <f t="shared" si="75"/>
        <v>0</v>
      </c>
      <c r="CS39" s="397">
        <f t="shared" si="76"/>
        <v>0</v>
      </c>
      <c r="CT39" s="398" t="e">
        <f t="shared" si="60"/>
        <v>#REF!</v>
      </c>
      <c r="CV39" s="391">
        <v>40106</v>
      </c>
      <c r="CW39" s="399">
        <f>+CW$3-SUM(AU$4:AU39)-0.02</f>
        <v>-1.9073486328541334E-8</v>
      </c>
      <c r="CX39" s="399">
        <f>+CX$3-SUM(AV$4:AV39)</f>
        <v>0</v>
      </c>
      <c r="CY39" s="399">
        <f>+CY$3-SUM(AW$4:AW39)</f>
        <v>0</v>
      </c>
      <c r="CZ39" s="399">
        <f>+CZ$3-SUM(AX$4:AX39)</f>
        <v>552828155.94000006</v>
      </c>
      <c r="DA39" s="399">
        <f>+DA$3-SUM(AY$4:AY39)</f>
        <v>1139656560.24</v>
      </c>
      <c r="DB39" s="399">
        <f>+DB$3-SUM(AZ$4:AZ39)</f>
        <v>547472191.47000003</v>
      </c>
      <c r="DC39" s="399" t="e">
        <f>+DC$3-SUM(BA$4:BA39)</f>
        <v>#REF!</v>
      </c>
      <c r="DD39" s="399">
        <f>+DD$3-SUM(BB$4:BB39)</f>
        <v>0</v>
      </c>
      <c r="DE39" s="399">
        <f>+DE$3-SUM(BC$4:BC39)</f>
        <v>112020391.73999999</v>
      </c>
      <c r="DF39" s="399">
        <f>+DF$3-SUM(BD$4:BD39)</f>
        <v>23000000</v>
      </c>
      <c r="DG39" s="399">
        <f>+DG$3-SUM(BE$4:BE39)</f>
        <v>0</v>
      </c>
      <c r="DH39" s="399">
        <f>+DH$3-SUM(BF$4:BF39)</f>
        <v>61041051.780000001</v>
      </c>
      <c r="DI39" s="399">
        <f>+DI$3-SUM(BG$4:BG39)</f>
        <v>56000000</v>
      </c>
      <c r="DJ39" s="399">
        <f>+DJ$3-SUM(BH$4:BH39)</f>
        <v>36902314.299999997</v>
      </c>
      <c r="DK39" s="399">
        <f>+DK$3-SUM(BI$4:BI39)</f>
        <v>141534746.44</v>
      </c>
      <c r="DL39" s="399">
        <f>+DL$3-SUM(BJ$4:BJ39)</f>
        <v>20000000</v>
      </c>
    </row>
    <row r="40" spans="1:116" s="106" customFormat="1">
      <c r="A40" s="391">
        <v>40137</v>
      </c>
      <c r="B40" s="393">
        <v>0</v>
      </c>
      <c r="C40" s="393">
        <v>0</v>
      </c>
      <c r="D40" s="393">
        <v>0</v>
      </c>
      <c r="E40" s="393">
        <v>379571308.9564091</v>
      </c>
      <c r="F40" s="393">
        <v>1139656560.236115</v>
      </c>
      <c r="G40" s="393">
        <v>547472191.47029364</v>
      </c>
      <c r="H40" s="393">
        <v>500000000</v>
      </c>
      <c r="I40" s="393">
        <v>0</v>
      </c>
      <c r="J40" s="393">
        <v>112020391.73598069</v>
      </c>
      <c r="K40" s="393">
        <v>23000000</v>
      </c>
      <c r="L40" s="393">
        <v>0</v>
      </c>
      <c r="M40" s="393">
        <v>61041051.784276903</v>
      </c>
      <c r="N40" s="393">
        <v>56000000</v>
      </c>
      <c r="O40" s="393">
        <v>36902314.302282669</v>
      </c>
      <c r="P40" s="393">
        <v>141534746.44486183</v>
      </c>
      <c r="Q40" s="393">
        <v>20000000</v>
      </c>
      <c r="R40" s="394">
        <f t="shared" si="2"/>
        <v>3017198564.9302197</v>
      </c>
      <c r="S40" s="391">
        <v>40137</v>
      </c>
      <c r="T40" s="395">
        <f t="shared" si="23"/>
        <v>0</v>
      </c>
      <c r="U40" s="395">
        <f t="shared" si="24"/>
        <v>0</v>
      </c>
      <c r="V40" s="395">
        <f t="shared" si="25"/>
        <v>0</v>
      </c>
      <c r="W40" s="395">
        <f t="shared" si="26"/>
        <v>173256846.97999999</v>
      </c>
      <c r="X40" s="395">
        <f t="shared" si="27"/>
        <v>0</v>
      </c>
      <c r="Y40" s="395">
        <f t="shared" si="28"/>
        <v>0</v>
      </c>
      <c r="Z40" s="395">
        <f t="shared" si="29"/>
        <v>0</v>
      </c>
      <c r="AA40" s="395">
        <f t="shared" si="30"/>
        <v>0</v>
      </c>
      <c r="AB40" s="395">
        <f t="shared" si="31"/>
        <v>0</v>
      </c>
      <c r="AC40" s="395">
        <f t="shared" si="32"/>
        <v>0</v>
      </c>
      <c r="AD40" s="395">
        <f t="shared" si="33"/>
        <v>0</v>
      </c>
      <c r="AE40" s="395">
        <f t="shared" si="34"/>
        <v>0</v>
      </c>
      <c r="AF40" s="395">
        <f t="shared" si="35"/>
        <v>0</v>
      </c>
      <c r="AG40" s="395">
        <f t="shared" si="36"/>
        <v>0</v>
      </c>
      <c r="AH40" s="395">
        <f t="shared" si="37"/>
        <v>0</v>
      </c>
      <c r="AI40" s="395">
        <f t="shared" si="38"/>
        <v>0</v>
      </c>
      <c r="AJ40" s="395">
        <f t="shared" si="39"/>
        <v>173256846.97999999</v>
      </c>
      <c r="AK40" s="396"/>
      <c r="AL40" s="391">
        <v>40137</v>
      </c>
      <c r="AM40" s="397">
        <f t="shared" si="40"/>
        <v>2566700060.6628175</v>
      </c>
      <c r="AN40" s="397">
        <f t="shared" si="41"/>
        <v>135020391.73598069</v>
      </c>
      <c r="AO40" s="397">
        <f t="shared" si="42"/>
        <v>117041051.7842769</v>
      </c>
      <c r="AP40" s="397">
        <f t="shared" si="43"/>
        <v>198437060.74714449</v>
      </c>
      <c r="AQ40" s="397">
        <f t="shared" si="4"/>
        <v>3017198564.9302197</v>
      </c>
      <c r="AR40" s="353"/>
      <c r="AT40" s="391">
        <v>40137</v>
      </c>
      <c r="AU40" s="63">
        <v>0</v>
      </c>
      <c r="AV40" s="63">
        <v>0</v>
      </c>
      <c r="AW40" s="63">
        <v>0</v>
      </c>
      <c r="AX40" s="85">
        <v>173256846.97999999</v>
      </c>
      <c r="AY40" s="63">
        <v>0</v>
      </c>
      <c r="AZ40" s="63">
        <v>0</v>
      </c>
      <c r="BA40" s="63">
        <v>0</v>
      </c>
      <c r="BB40" s="63">
        <v>0</v>
      </c>
      <c r="BC40" s="63">
        <v>0</v>
      </c>
      <c r="BD40" s="63">
        <v>0</v>
      </c>
      <c r="BE40" s="63">
        <v>0</v>
      </c>
      <c r="BF40" s="63">
        <v>0</v>
      </c>
      <c r="BG40" s="63">
        <v>0</v>
      </c>
      <c r="BH40" s="63">
        <v>0</v>
      </c>
      <c r="BI40" s="63">
        <v>0</v>
      </c>
      <c r="BJ40" s="63">
        <v>0</v>
      </c>
      <c r="BL40" s="391">
        <v>40137</v>
      </c>
      <c r="BM40" s="397">
        <f t="shared" si="5"/>
        <v>0</v>
      </c>
      <c r="BN40" s="397">
        <f t="shared" si="6"/>
        <v>0</v>
      </c>
      <c r="BO40" s="397">
        <f t="shared" si="7"/>
        <v>0</v>
      </c>
      <c r="BP40" s="397">
        <f t="shared" si="8"/>
        <v>0</v>
      </c>
      <c r="BQ40" s="397">
        <f t="shared" si="9"/>
        <v>0</v>
      </c>
      <c r="BR40" s="397">
        <f t="shared" si="10"/>
        <v>0</v>
      </c>
      <c r="BS40" s="397">
        <f t="shared" si="11"/>
        <v>0</v>
      </c>
      <c r="BT40" s="397">
        <f t="shared" si="12"/>
        <v>0</v>
      </c>
      <c r="BU40" s="397">
        <f t="shared" si="13"/>
        <v>0</v>
      </c>
      <c r="BV40" s="397">
        <f t="shared" si="14"/>
        <v>0</v>
      </c>
      <c r="BW40" s="397">
        <f t="shared" si="15"/>
        <v>0</v>
      </c>
      <c r="BX40" s="397">
        <f t="shared" si="16"/>
        <v>0</v>
      </c>
      <c r="BY40" s="397">
        <f t="shared" si="17"/>
        <v>0</v>
      </c>
      <c r="BZ40" s="397">
        <f t="shared" si="18"/>
        <v>0</v>
      </c>
      <c r="CA40" s="397">
        <f t="shared" si="19"/>
        <v>0</v>
      </c>
      <c r="CB40" s="397">
        <f t="shared" si="20"/>
        <v>0</v>
      </c>
      <c r="CC40" s="391">
        <v>40137</v>
      </c>
      <c r="CD40" s="397">
        <f t="shared" si="61"/>
        <v>0</v>
      </c>
      <c r="CE40" s="397">
        <f t="shared" si="62"/>
        <v>0</v>
      </c>
      <c r="CF40" s="397">
        <f t="shared" si="63"/>
        <v>0</v>
      </c>
      <c r="CG40" s="397">
        <f t="shared" si="64"/>
        <v>0</v>
      </c>
      <c r="CH40" s="397">
        <f t="shared" si="65"/>
        <v>0</v>
      </c>
      <c r="CI40" s="397">
        <f t="shared" si="66"/>
        <v>0</v>
      </c>
      <c r="CJ40" s="397" t="e">
        <f t="shared" si="67"/>
        <v>#REF!</v>
      </c>
      <c r="CK40" s="397">
        <f t="shared" si="68"/>
        <v>0</v>
      </c>
      <c r="CL40" s="397">
        <f t="shared" si="69"/>
        <v>0</v>
      </c>
      <c r="CM40" s="397">
        <f t="shared" si="70"/>
        <v>0</v>
      </c>
      <c r="CN40" s="397">
        <f t="shared" si="71"/>
        <v>0</v>
      </c>
      <c r="CO40" s="397">
        <f t="shared" si="72"/>
        <v>0</v>
      </c>
      <c r="CP40" s="397">
        <f t="shared" si="73"/>
        <v>0</v>
      </c>
      <c r="CQ40" s="397">
        <f t="shared" si="74"/>
        <v>0</v>
      </c>
      <c r="CR40" s="397">
        <f t="shared" si="75"/>
        <v>0</v>
      </c>
      <c r="CS40" s="397">
        <f t="shared" si="76"/>
        <v>0</v>
      </c>
      <c r="CT40" s="398" t="e">
        <f t="shared" si="60"/>
        <v>#REF!</v>
      </c>
      <c r="CV40" s="391">
        <v>40137</v>
      </c>
      <c r="CW40" s="399">
        <f>+CW$3-SUM(AU$4:AU40)-0.02</f>
        <v>-1.9073486328541334E-8</v>
      </c>
      <c r="CX40" s="399">
        <f>+CX$3-SUM(AV$4:AV40)</f>
        <v>0</v>
      </c>
      <c r="CY40" s="399">
        <f>+CY$3-SUM(AW$4:AW40)</f>
        <v>0</v>
      </c>
      <c r="CZ40" s="399">
        <f>+CZ$3-SUM(AX$4:AX40)</f>
        <v>379571308.96000004</v>
      </c>
      <c r="DA40" s="399">
        <f>+DA$3-SUM(AY$4:AY40)</f>
        <v>1139656560.24</v>
      </c>
      <c r="DB40" s="399">
        <f>+DB$3-SUM(AZ$4:AZ40)</f>
        <v>547472191.47000003</v>
      </c>
      <c r="DC40" s="399" t="e">
        <f>+DC$3-SUM(BA$4:BA40)</f>
        <v>#REF!</v>
      </c>
      <c r="DD40" s="399">
        <f>+DD$3-SUM(BB$4:BB40)</f>
        <v>0</v>
      </c>
      <c r="DE40" s="399">
        <f>+DE$3-SUM(BC$4:BC40)</f>
        <v>112020391.73999999</v>
      </c>
      <c r="DF40" s="399">
        <f>+DF$3-SUM(BD$4:BD40)</f>
        <v>23000000</v>
      </c>
      <c r="DG40" s="399">
        <f>+DG$3-SUM(BE$4:BE40)</f>
        <v>0</v>
      </c>
      <c r="DH40" s="399">
        <f>+DH$3-SUM(BF$4:BF40)</f>
        <v>61041051.780000001</v>
      </c>
      <c r="DI40" s="399">
        <f>+DI$3-SUM(BG$4:BG40)</f>
        <v>56000000</v>
      </c>
      <c r="DJ40" s="399">
        <f>+DJ$3-SUM(BH$4:BH40)</f>
        <v>36902314.299999997</v>
      </c>
      <c r="DK40" s="399">
        <f>+DK$3-SUM(BI$4:BI40)</f>
        <v>141534746.44</v>
      </c>
      <c r="DL40" s="399">
        <f>+DL$3-SUM(BJ$4:BJ40)</f>
        <v>20000000</v>
      </c>
    </row>
    <row r="41" spans="1:116" s="106" customFormat="1">
      <c r="A41" s="391">
        <v>40167</v>
      </c>
      <c r="B41" s="393">
        <v>0</v>
      </c>
      <c r="C41" s="393">
        <v>0</v>
      </c>
      <c r="D41" s="393">
        <v>0</v>
      </c>
      <c r="E41" s="393">
        <v>379571308.9564091</v>
      </c>
      <c r="F41" s="393">
        <v>1139656560.236115</v>
      </c>
      <c r="G41" s="393">
        <v>547472191.47029364</v>
      </c>
      <c r="H41" s="393">
        <v>500000000</v>
      </c>
      <c r="I41" s="393">
        <v>0</v>
      </c>
      <c r="J41" s="393">
        <v>112020391.73598069</v>
      </c>
      <c r="K41" s="393">
        <v>23000000</v>
      </c>
      <c r="L41" s="393">
        <v>0</v>
      </c>
      <c r="M41" s="393">
        <v>61041051.784276903</v>
      </c>
      <c r="N41" s="393">
        <v>56000000</v>
      </c>
      <c r="O41" s="393">
        <v>36902314.302282669</v>
      </c>
      <c r="P41" s="393">
        <v>141534746.44486183</v>
      </c>
      <c r="Q41" s="393">
        <v>20000000</v>
      </c>
      <c r="R41" s="394">
        <f t="shared" si="2"/>
        <v>3017198564.9302197</v>
      </c>
      <c r="S41" s="391">
        <v>40167</v>
      </c>
      <c r="T41" s="395">
        <f t="shared" si="23"/>
        <v>0</v>
      </c>
      <c r="U41" s="395">
        <f t="shared" si="24"/>
        <v>0</v>
      </c>
      <c r="V41" s="395">
        <f t="shared" si="25"/>
        <v>0</v>
      </c>
      <c r="W41" s="395">
        <f t="shared" si="26"/>
        <v>0</v>
      </c>
      <c r="X41" s="395">
        <f t="shared" si="27"/>
        <v>0</v>
      </c>
      <c r="Y41" s="395">
        <f t="shared" si="28"/>
        <v>0</v>
      </c>
      <c r="Z41" s="395">
        <f t="shared" si="29"/>
        <v>0</v>
      </c>
      <c r="AA41" s="395">
        <f t="shared" si="30"/>
        <v>0</v>
      </c>
      <c r="AB41" s="395">
        <f t="shared" si="31"/>
        <v>0</v>
      </c>
      <c r="AC41" s="395">
        <f t="shared" si="32"/>
        <v>0</v>
      </c>
      <c r="AD41" s="395">
        <f t="shared" si="33"/>
        <v>0</v>
      </c>
      <c r="AE41" s="395">
        <f t="shared" si="34"/>
        <v>0</v>
      </c>
      <c r="AF41" s="395">
        <f t="shared" si="35"/>
        <v>0</v>
      </c>
      <c r="AG41" s="395">
        <f t="shared" si="36"/>
        <v>0</v>
      </c>
      <c r="AH41" s="395">
        <f t="shared" si="37"/>
        <v>0</v>
      </c>
      <c r="AI41" s="395">
        <f t="shared" si="38"/>
        <v>0</v>
      </c>
      <c r="AJ41" s="395">
        <f t="shared" si="39"/>
        <v>0</v>
      </c>
      <c r="AK41" s="396"/>
      <c r="AL41" s="391">
        <v>40167</v>
      </c>
      <c r="AM41" s="397">
        <f t="shared" si="40"/>
        <v>2566700060.6628175</v>
      </c>
      <c r="AN41" s="397">
        <f t="shared" si="41"/>
        <v>135020391.73598069</v>
      </c>
      <c r="AO41" s="397">
        <f t="shared" si="42"/>
        <v>117041051.7842769</v>
      </c>
      <c r="AP41" s="397">
        <f t="shared" si="43"/>
        <v>198437060.74714449</v>
      </c>
      <c r="AQ41" s="397">
        <f t="shared" si="4"/>
        <v>3017198564.9302197</v>
      </c>
      <c r="AR41" s="353"/>
      <c r="AT41" s="391">
        <v>40167</v>
      </c>
      <c r="AU41" s="63">
        <v>0</v>
      </c>
      <c r="AV41" s="63">
        <v>0</v>
      </c>
      <c r="AW41" s="63">
        <v>0</v>
      </c>
      <c r="AX41" s="63">
        <v>0</v>
      </c>
      <c r="AY41" s="63">
        <v>0</v>
      </c>
      <c r="AZ41" s="63">
        <v>0</v>
      </c>
      <c r="BA41" s="63">
        <v>0</v>
      </c>
      <c r="BB41" s="63">
        <v>0</v>
      </c>
      <c r="BC41" s="63">
        <v>0</v>
      </c>
      <c r="BD41" s="63">
        <v>0</v>
      </c>
      <c r="BE41" s="63">
        <v>0</v>
      </c>
      <c r="BF41" s="63">
        <v>0</v>
      </c>
      <c r="BG41" s="63">
        <v>0</v>
      </c>
      <c r="BH41" s="63">
        <v>0</v>
      </c>
      <c r="BI41" s="63">
        <v>0</v>
      </c>
      <c r="BJ41" s="63">
        <v>0</v>
      </c>
      <c r="BL41" s="391">
        <v>40167</v>
      </c>
      <c r="BM41" s="397">
        <f t="shared" si="5"/>
        <v>0</v>
      </c>
      <c r="BN41" s="397">
        <f t="shared" si="6"/>
        <v>0</v>
      </c>
      <c r="BO41" s="397">
        <f t="shared" si="7"/>
        <v>0</v>
      </c>
      <c r="BP41" s="397">
        <f t="shared" si="8"/>
        <v>0</v>
      </c>
      <c r="BQ41" s="397">
        <f t="shared" si="9"/>
        <v>0</v>
      </c>
      <c r="BR41" s="397">
        <f t="shared" si="10"/>
        <v>0</v>
      </c>
      <c r="BS41" s="397">
        <f t="shared" si="11"/>
        <v>0</v>
      </c>
      <c r="BT41" s="397">
        <f t="shared" si="12"/>
        <v>0</v>
      </c>
      <c r="BU41" s="397">
        <f t="shared" si="13"/>
        <v>0</v>
      </c>
      <c r="BV41" s="397">
        <f t="shared" si="14"/>
        <v>0</v>
      </c>
      <c r="BW41" s="397">
        <f t="shared" si="15"/>
        <v>0</v>
      </c>
      <c r="BX41" s="397">
        <f t="shared" si="16"/>
        <v>0</v>
      </c>
      <c r="BY41" s="397">
        <f t="shared" si="17"/>
        <v>0</v>
      </c>
      <c r="BZ41" s="397">
        <f t="shared" si="18"/>
        <v>0</v>
      </c>
      <c r="CA41" s="397">
        <f t="shared" si="19"/>
        <v>0</v>
      </c>
      <c r="CB41" s="397">
        <f t="shared" si="20"/>
        <v>0</v>
      </c>
      <c r="CC41" s="391">
        <v>40167</v>
      </c>
      <c r="CD41" s="397">
        <f t="shared" si="61"/>
        <v>0</v>
      </c>
      <c r="CE41" s="397">
        <f t="shared" si="62"/>
        <v>0</v>
      </c>
      <c r="CF41" s="397">
        <f t="shared" si="63"/>
        <v>0</v>
      </c>
      <c r="CG41" s="397">
        <f t="shared" si="64"/>
        <v>0</v>
      </c>
      <c r="CH41" s="397">
        <f t="shared" si="65"/>
        <v>0</v>
      </c>
      <c r="CI41" s="397">
        <f t="shared" si="66"/>
        <v>0</v>
      </c>
      <c r="CJ41" s="397" t="e">
        <f t="shared" si="67"/>
        <v>#REF!</v>
      </c>
      <c r="CK41" s="397">
        <f t="shared" si="68"/>
        <v>0</v>
      </c>
      <c r="CL41" s="397">
        <f t="shared" si="69"/>
        <v>0</v>
      </c>
      <c r="CM41" s="397">
        <f t="shared" si="70"/>
        <v>0</v>
      </c>
      <c r="CN41" s="397">
        <f t="shared" si="71"/>
        <v>0</v>
      </c>
      <c r="CO41" s="397">
        <f t="shared" si="72"/>
        <v>0</v>
      </c>
      <c r="CP41" s="397">
        <f t="shared" si="73"/>
        <v>0</v>
      </c>
      <c r="CQ41" s="397">
        <f t="shared" si="74"/>
        <v>0</v>
      </c>
      <c r="CR41" s="397">
        <f t="shared" si="75"/>
        <v>0</v>
      </c>
      <c r="CS41" s="397">
        <f t="shared" si="76"/>
        <v>0</v>
      </c>
      <c r="CT41" s="398" t="e">
        <f t="shared" si="60"/>
        <v>#REF!</v>
      </c>
      <c r="CV41" s="391">
        <v>40167</v>
      </c>
      <c r="CW41" s="399">
        <f>+CW$3-SUM(AU$4:AU41)-0.02</f>
        <v>-1.9073486328541334E-8</v>
      </c>
      <c r="CX41" s="399">
        <f>+CX$3-SUM(AV$4:AV41)</f>
        <v>0</v>
      </c>
      <c r="CY41" s="399">
        <f>+CY$3-SUM(AW$4:AW41)</f>
        <v>0</v>
      </c>
      <c r="CZ41" s="399">
        <f>+CZ$3-SUM(AX$4:AX41)</f>
        <v>379571308.96000004</v>
      </c>
      <c r="DA41" s="399">
        <f>+DA$3-SUM(AY$4:AY41)</f>
        <v>1139656560.24</v>
      </c>
      <c r="DB41" s="399">
        <f>+DB$3-SUM(AZ$4:AZ41)</f>
        <v>547472191.47000003</v>
      </c>
      <c r="DC41" s="399" t="e">
        <f>+DC$3-SUM(BA$4:BA41)</f>
        <v>#REF!</v>
      </c>
      <c r="DD41" s="399">
        <f>+DD$3-SUM(BB$4:BB41)</f>
        <v>0</v>
      </c>
      <c r="DE41" s="399">
        <f>+DE$3-SUM(BC$4:BC41)</f>
        <v>112020391.73999999</v>
      </c>
      <c r="DF41" s="399">
        <f>+DF$3-SUM(BD$4:BD41)</f>
        <v>23000000</v>
      </c>
      <c r="DG41" s="399">
        <f>+DG$3-SUM(BE$4:BE41)</f>
        <v>0</v>
      </c>
      <c r="DH41" s="399">
        <f>+DH$3-SUM(BF$4:BF41)</f>
        <v>61041051.780000001</v>
      </c>
      <c r="DI41" s="399">
        <f>+DI$3-SUM(BG$4:BG41)</f>
        <v>56000000</v>
      </c>
      <c r="DJ41" s="399">
        <f>+DJ$3-SUM(BH$4:BH41)</f>
        <v>36902314.299999997</v>
      </c>
      <c r="DK41" s="399">
        <f>+DK$3-SUM(BI$4:BI41)</f>
        <v>141534746.44</v>
      </c>
      <c r="DL41" s="399">
        <f>+DL$3-SUM(BJ$4:BJ41)</f>
        <v>20000000</v>
      </c>
    </row>
    <row r="42" spans="1:116" s="106" customFormat="1">
      <c r="A42" s="391">
        <v>40198</v>
      </c>
      <c r="B42" s="393">
        <v>0</v>
      </c>
      <c r="C42" s="393">
        <v>0</v>
      </c>
      <c r="D42" s="393">
        <v>0</v>
      </c>
      <c r="E42" s="393">
        <v>379571308.9564091</v>
      </c>
      <c r="F42" s="393">
        <v>1139656560.236115</v>
      </c>
      <c r="G42" s="393">
        <v>547472191.47029364</v>
      </c>
      <c r="H42" s="393">
        <v>500000000</v>
      </c>
      <c r="I42" s="393">
        <v>0</v>
      </c>
      <c r="J42" s="393">
        <v>112020391.73598069</v>
      </c>
      <c r="K42" s="393">
        <v>23000000</v>
      </c>
      <c r="L42" s="393">
        <v>0</v>
      </c>
      <c r="M42" s="393">
        <v>61041051.784276903</v>
      </c>
      <c r="N42" s="393">
        <v>56000000</v>
      </c>
      <c r="O42" s="393">
        <v>36902314.302282669</v>
      </c>
      <c r="P42" s="393">
        <v>141534746.44486183</v>
      </c>
      <c r="Q42" s="393">
        <v>20000000</v>
      </c>
      <c r="R42" s="394">
        <f t="shared" si="2"/>
        <v>3017198564.9302197</v>
      </c>
      <c r="S42" s="391">
        <v>40198</v>
      </c>
      <c r="T42" s="395">
        <f t="shared" si="23"/>
        <v>0</v>
      </c>
      <c r="U42" s="395">
        <f t="shared" si="24"/>
        <v>0</v>
      </c>
      <c r="V42" s="395">
        <f t="shared" si="25"/>
        <v>0</v>
      </c>
      <c r="W42" s="395">
        <f t="shared" si="26"/>
        <v>0</v>
      </c>
      <c r="X42" s="395">
        <f t="shared" si="27"/>
        <v>0</v>
      </c>
      <c r="Y42" s="395">
        <f t="shared" si="28"/>
        <v>0</v>
      </c>
      <c r="Z42" s="395">
        <f t="shared" si="29"/>
        <v>0</v>
      </c>
      <c r="AA42" s="395">
        <f t="shared" si="30"/>
        <v>0</v>
      </c>
      <c r="AB42" s="395">
        <f t="shared" si="31"/>
        <v>0</v>
      </c>
      <c r="AC42" s="395">
        <f t="shared" si="32"/>
        <v>0</v>
      </c>
      <c r="AD42" s="395">
        <f t="shared" si="33"/>
        <v>0</v>
      </c>
      <c r="AE42" s="395">
        <f t="shared" si="34"/>
        <v>0</v>
      </c>
      <c r="AF42" s="395">
        <f t="shared" si="35"/>
        <v>0</v>
      </c>
      <c r="AG42" s="395">
        <f t="shared" si="36"/>
        <v>0</v>
      </c>
      <c r="AH42" s="395">
        <f t="shared" si="37"/>
        <v>0</v>
      </c>
      <c r="AI42" s="395">
        <f t="shared" si="38"/>
        <v>0</v>
      </c>
      <c r="AJ42" s="395">
        <f t="shared" si="39"/>
        <v>0</v>
      </c>
      <c r="AK42" s="396"/>
      <c r="AL42" s="391">
        <v>40198</v>
      </c>
      <c r="AM42" s="397">
        <f t="shared" si="40"/>
        <v>2566700060.6628175</v>
      </c>
      <c r="AN42" s="397">
        <f t="shared" si="41"/>
        <v>135020391.73598069</v>
      </c>
      <c r="AO42" s="397">
        <f t="shared" si="42"/>
        <v>117041051.7842769</v>
      </c>
      <c r="AP42" s="397">
        <f t="shared" si="43"/>
        <v>198437060.74714449</v>
      </c>
      <c r="AQ42" s="397">
        <f t="shared" si="4"/>
        <v>3017198564.9302197</v>
      </c>
      <c r="AR42" s="353"/>
      <c r="AT42" s="391">
        <v>40198</v>
      </c>
      <c r="AU42" s="63">
        <v>0</v>
      </c>
      <c r="AV42" s="63">
        <v>0</v>
      </c>
      <c r="AW42" s="63">
        <v>0</v>
      </c>
      <c r="AX42" s="63">
        <v>0</v>
      </c>
      <c r="AY42" s="63">
        <v>0</v>
      </c>
      <c r="AZ42" s="63">
        <v>0</v>
      </c>
      <c r="BA42" s="63">
        <v>0</v>
      </c>
      <c r="BB42" s="63">
        <v>0</v>
      </c>
      <c r="BC42" s="63">
        <v>0</v>
      </c>
      <c r="BD42" s="63">
        <v>0</v>
      </c>
      <c r="BE42" s="63">
        <v>0</v>
      </c>
      <c r="BF42" s="63">
        <v>0</v>
      </c>
      <c r="BG42" s="63">
        <v>0</v>
      </c>
      <c r="BH42" s="63">
        <v>0</v>
      </c>
      <c r="BI42" s="63">
        <v>0</v>
      </c>
      <c r="BJ42" s="63">
        <v>0</v>
      </c>
      <c r="BL42" s="391">
        <v>40198</v>
      </c>
      <c r="BM42" s="397">
        <f t="shared" si="5"/>
        <v>0</v>
      </c>
      <c r="BN42" s="397">
        <f t="shared" si="6"/>
        <v>0</v>
      </c>
      <c r="BO42" s="397">
        <f t="shared" si="7"/>
        <v>0</v>
      </c>
      <c r="BP42" s="397">
        <f t="shared" si="8"/>
        <v>0</v>
      </c>
      <c r="BQ42" s="397">
        <f t="shared" si="9"/>
        <v>0</v>
      </c>
      <c r="BR42" s="397">
        <f t="shared" si="10"/>
        <v>0</v>
      </c>
      <c r="BS42" s="397">
        <f t="shared" si="11"/>
        <v>0</v>
      </c>
      <c r="BT42" s="397">
        <f t="shared" si="12"/>
        <v>0</v>
      </c>
      <c r="BU42" s="397">
        <f t="shared" si="13"/>
        <v>0</v>
      </c>
      <c r="BV42" s="397">
        <f t="shared" si="14"/>
        <v>0</v>
      </c>
      <c r="BW42" s="397">
        <f t="shared" si="15"/>
        <v>0</v>
      </c>
      <c r="BX42" s="397">
        <f t="shared" si="16"/>
        <v>0</v>
      </c>
      <c r="BY42" s="397">
        <f t="shared" si="17"/>
        <v>0</v>
      </c>
      <c r="BZ42" s="397">
        <f t="shared" si="18"/>
        <v>0</v>
      </c>
      <c r="CA42" s="397">
        <f t="shared" si="19"/>
        <v>0</v>
      </c>
      <c r="CB42" s="397">
        <f t="shared" si="20"/>
        <v>0</v>
      </c>
      <c r="CC42" s="391">
        <v>40198</v>
      </c>
      <c r="CD42" s="397">
        <f t="shared" si="61"/>
        <v>0</v>
      </c>
      <c r="CE42" s="397">
        <f t="shared" si="62"/>
        <v>0</v>
      </c>
      <c r="CF42" s="397">
        <f t="shared" si="63"/>
        <v>0</v>
      </c>
      <c r="CG42" s="397">
        <f t="shared" si="64"/>
        <v>0</v>
      </c>
      <c r="CH42" s="397">
        <f t="shared" si="65"/>
        <v>0</v>
      </c>
      <c r="CI42" s="397">
        <f t="shared" si="66"/>
        <v>0</v>
      </c>
      <c r="CJ42" s="397" t="e">
        <f t="shared" si="67"/>
        <v>#REF!</v>
      </c>
      <c r="CK42" s="397">
        <f t="shared" si="68"/>
        <v>0</v>
      </c>
      <c r="CL42" s="397">
        <f t="shared" si="69"/>
        <v>0</v>
      </c>
      <c r="CM42" s="397">
        <f t="shared" si="70"/>
        <v>0</v>
      </c>
      <c r="CN42" s="397">
        <f t="shared" si="71"/>
        <v>0</v>
      </c>
      <c r="CO42" s="397">
        <f t="shared" si="72"/>
        <v>0</v>
      </c>
      <c r="CP42" s="397">
        <f t="shared" si="73"/>
        <v>0</v>
      </c>
      <c r="CQ42" s="397">
        <f t="shared" si="74"/>
        <v>0</v>
      </c>
      <c r="CR42" s="397">
        <f t="shared" si="75"/>
        <v>0</v>
      </c>
      <c r="CS42" s="397">
        <f t="shared" si="76"/>
        <v>0</v>
      </c>
      <c r="CT42" s="398" t="e">
        <f t="shared" si="60"/>
        <v>#REF!</v>
      </c>
      <c r="CV42" s="391">
        <v>40198</v>
      </c>
      <c r="CW42" s="399">
        <f>+CW$3-SUM(AU$4:AU42)-0.02</f>
        <v>-1.9073486328541334E-8</v>
      </c>
      <c r="CX42" s="399">
        <f>+CX$3-SUM(AV$4:AV42)</f>
        <v>0</v>
      </c>
      <c r="CY42" s="399">
        <f>+CY$3-SUM(AW$4:AW42)</f>
        <v>0</v>
      </c>
      <c r="CZ42" s="399">
        <f>+CZ$3-SUM(AX$4:AX42)</f>
        <v>379571308.96000004</v>
      </c>
      <c r="DA42" s="399">
        <f>+DA$3-SUM(AY$4:AY42)</f>
        <v>1139656560.24</v>
      </c>
      <c r="DB42" s="399">
        <f>+DB$3-SUM(AZ$4:AZ42)</f>
        <v>547472191.47000003</v>
      </c>
      <c r="DC42" s="399" t="e">
        <f>+DC$3-SUM(BA$4:BA42)</f>
        <v>#REF!</v>
      </c>
      <c r="DD42" s="399">
        <f>+DD$3-SUM(BB$4:BB42)</f>
        <v>0</v>
      </c>
      <c r="DE42" s="399">
        <f>+DE$3-SUM(BC$4:BC42)</f>
        <v>112020391.73999999</v>
      </c>
      <c r="DF42" s="399">
        <f>+DF$3-SUM(BD$4:BD42)</f>
        <v>23000000</v>
      </c>
      <c r="DG42" s="399">
        <f>+DG$3-SUM(BE$4:BE42)</f>
        <v>0</v>
      </c>
      <c r="DH42" s="399">
        <f>+DH$3-SUM(BF$4:BF42)</f>
        <v>61041051.780000001</v>
      </c>
      <c r="DI42" s="399">
        <f>+DI$3-SUM(BG$4:BG42)</f>
        <v>56000000</v>
      </c>
      <c r="DJ42" s="399">
        <f>+DJ$3-SUM(BH$4:BH42)</f>
        <v>36902314.299999997</v>
      </c>
      <c r="DK42" s="399">
        <f>+DK$3-SUM(BI$4:BI42)</f>
        <v>141534746.44</v>
      </c>
      <c r="DL42" s="399">
        <f>+DL$3-SUM(BJ$4:BJ42)</f>
        <v>20000000</v>
      </c>
    </row>
    <row r="43" spans="1:116" s="106" customFormat="1">
      <c r="A43" s="391">
        <v>40231</v>
      </c>
      <c r="B43" s="393">
        <v>0</v>
      </c>
      <c r="C43" s="393">
        <v>0</v>
      </c>
      <c r="D43" s="393">
        <v>0</v>
      </c>
      <c r="E43" s="393">
        <v>215715099.72407547</v>
      </c>
      <c r="F43" s="393">
        <v>1139656560.236115</v>
      </c>
      <c r="G43" s="393">
        <v>547472191.47029364</v>
      </c>
      <c r="H43" s="393">
        <v>500000000</v>
      </c>
      <c r="I43" s="393">
        <v>0</v>
      </c>
      <c r="J43" s="393">
        <v>112020391.73598069</v>
      </c>
      <c r="K43" s="393">
        <v>23000000</v>
      </c>
      <c r="L43" s="393">
        <v>0</v>
      </c>
      <c r="M43" s="393">
        <v>61041051.784276903</v>
      </c>
      <c r="N43" s="393">
        <v>56000000</v>
      </c>
      <c r="O43" s="393">
        <v>36902314.302282669</v>
      </c>
      <c r="P43" s="393">
        <v>141534746.44486183</v>
      </c>
      <c r="Q43" s="393">
        <v>20000000</v>
      </c>
      <c r="R43" s="394">
        <f t="shared" si="2"/>
        <v>2853342355.6978865</v>
      </c>
      <c r="S43" s="391">
        <v>40231</v>
      </c>
      <c r="T43" s="395">
        <f t="shared" si="23"/>
        <v>0</v>
      </c>
      <c r="U43" s="395">
        <f t="shared" si="24"/>
        <v>0</v>
      </c>
      <c r="V43" s="395">
        <f t="shared" si="25"/>
        <v>0</v>
      </c>
      <c r="W43" s="395">
        <f t="shared" si="26"/>
        <v>163856209.22999999</v>
      </c>
      <c r="X43" s="395">
        <f t="shared" si="27"/>
        <v>0</v>
      </c>
      <c r="Y43" s="395">
        <f t="shared" si="28"/>
        <v>0</v>
      </c>
      <c r="Z43" s="395">
        <f t="shared" si="29"/>
        <v>0</v>
      </c>
      <c r="AA43" s="395">
        <f t="shared" si="30"/>
        <v>0</v>
      </c>
      <c r="AB43" s="395">
        <f t="shared" si="31"/>
        <v>0</v>
      </c>
      <c r="AC43" s="395">
        <f t="shared" si="32"/>
        <v>0</v>
      </c>
      <c r="AD43" s="395">
        <f t="shared" si="33"/>
        <v>0</v>
      </c>
      <c r="AE43" s="395">
        <f t="shared" si="34"/>
        <v>0</v>
      </c>
      <c r="AF43" s="395">
        <f t="shared" si="35"/>
        <v>0</v>
      </c>
      <c r="AG43" s="395">
        <f t="shared" si="36"/>
        <v>0</v>
      </c>
      <c r="AH43" s="395">
        <f t="shared" si="37"/>
        <v>0</v>
      </c>
      <c r="AI43" s="395">
        <f t="shared" si="38"/>
        <v>0</v>
      </c>
      <c r="AJ43" s="395">
        <f t="shared" si="39"/>
        <v>163856209.22999999</v>
      </c>
      <c r="AK43" s="396"/>
      <c r="AL43" s="391">
        <v>40231</v>
      </c>
      <c r="AM43" s="397">
        <f t="shared" si="40"/>
        <v>2402843851.4304843</v>
      </c>
      <c r="AN43" s="397">
        <f t="shared" si="41"/>
        <v>135020391.73598069</v>
      </c>
      <c r="AO43" s="397">
        <f t="shared" si="42"/>
        <v>117041051.7842769</v>
      </c>
      <c r="AP43" s="397">
        <f t="shared" si="43"/>
        <v>198437060.74714449</v>
      </c>
      <c r="AQ43" s="397">
        <f t="shared" si="4"/>
        <v>2853342355.6978865</v>
      </c>
      <c r="AR43" s="353"/>
      <c r="AT43" s="391">
        <v>40231</v>
      </c>
      <c r="AU43" s="63">
        <v>0</v>
      </c>
      <c r="AV43" s="63">
        <v>0</v>
      </c>
      <c r="AW43" s="63">
        <v>0</v>
      </c>
      <c r="AX43" s="85">
        <v>163856209.22999999</v>
      </c>
      <c r="AY43" s="63">
        <v>0</v>
      </c>
      <c r="AZ43" s="63">
        <v>0</v>
      </c>
      <c r="BA43" s="63">
        <v>0</v>
      </c>
      <c r="BB43" s="63">
        <v>0</v>
      </c>
      <c r="BC43" s="63">
        <v>0</v>
      </c>
      <c r="BD43" s="63">
        <v>0</v>
      </c>
      <c r="BE43" s="63">
        <v>0</v>
      </c>
      <c r="BF43" s="63">
        <v>0</v>
      </c>
      <c r="BG43" s="63">
        <v>0</v>
      </c>
      <c r="BH43" s="63">
        <v>0</v>
      </c>
      <c r="BI43" s="63">
        <v>0</v>
      </c>
      <c r="BJ43" s="63">
        <v>0</v>
      </c>
      <c r="BL43" s="391">
        <v>40231</v>
      </c>
      <c r="BM43" s="397">
        <f t="shared" si="5"/>
        <v>0</v>
      </c>
      <c r="BN43" s="397">
        <f t="shared" si="6"/>
        <v>0</v>
      </c>
      <c r="BO43" s="397">
        <f t="shared" si="7"/>
        <v>0</v>
      </c>
      <c r="BP43" s="397">
        <f t="shared" si="8"/>
        <v>0</v>
      </c>
      <c r="BQ43" s="397">
        <f t="shared" si="9"/>
        <v>0</v>
      </c>
      <c r="BR43" s="397">
        <f t="shared" si="10"/>
        <v>0</v>
      </c>
      <c r="BS43" s="397">
        <f t="shared" si="11"/>
        <v>0</v>
      </c>
      <c r="BT43" s="397">
        <f t="shared" si="12"/>
        <v>0</v>
      </c>
      <c r="BU43" s="397">
        <f t="shared" si="13"/>
        <v>0</v>
      </c>
      <c r="BV43" s="397">
        <f t="shared" si="14"/>
        <v>0</v>
      </c>
      <c r="BW43" s="397">
        <f t="shared" si="15"/>
        <v>0</v>
      </c>
      <c r="BX43" s="397">
        <f t="shared" si="16"/>
        <v>0</v>
      </c>
      <c r="BY43" s="397">
        <f t="shared" si="17"/>
        <v>0</v>
      </c>
      <c r="BZ43" s="397">
        <f t="shared" si="18"/>
        <v>0</v>
      </c>
      <c r="CA43" s="397">
        <f t="shared" si="19"/>
        <v>0</v>
      </c>
      <c r="CB43" s="397">
        <f t="shared" si="20"/>
        <v>0</v>
      </c>
      <c r="CC43" s="391">
        <v>40231</v>
      </c>
      <c r="CD43" s="397">
        <f t="shared" si="61"/>
        <v>0</v>
      </c>
      <c r="CE43" s="397">
        <f t="shared" si="62"/>
        <v>0</v>
      </c>
      <c r="CF43" s="397">
        <f t="shared" si="63"/>
        <v>0</v>
      </c>
      <c r="CG43" s="397">
        <f t="shared" si="64"/>
        <v>0</v>
      </c>
      <c r="CH43" s="397">
        <f t="shared" si="65"/>
        <v>0</v>
      </c>
      <c r="CI43" s="397">
        <f t="shared" si="66"/>
        <v>0</v>
      </c>
      <c r="CJ43" s="397" t="e">
        <f t="shared" si="67"/>
        <v>#REF!</v>
      </c>
      <c r="CK43" s="397">
        <f t="shared" si="68"/>
        <v>0</v>
      </c>
      <c r="CL43" s="397">
        <f t="shared" si="69"/>
        <v>0</v>
      </c>
      <c r="CM43" s="397">
        <f t="shared" si="70"/>
        <v>0</v>
      </c>
      <c r="CN43" s="397">
        <f t="shared" si="71"/>
        <v>0</v>
      </c>
      <c r="CO43" s="397">
        <f t="shared" si="72"/>
        <v>0</v>
      </c>
      <c r="CP43" s="397">
        <f t="shared" si="73"/>
        <v>0</v>
      </c>
      <c r="CQ43" s="397">
        <f t="shared" si="74"/>
        <v>0</v>
      </c>
      <c r="CR43" s="397">
        <f t="shared" si="75"/>
        <v>0</v>
      </c>
      <c r="CS43" s="397">
        <f t="shared" si="76"/>
        <v>0</v>
      </c>
      <c r="CT43" s="398" t="e">
        <f t="shared" si="60"/>
        <v>#REF!</v>
      </c>
      <c r="CV43" s="391">
        <v>40231</v>
      </c>
      <c r="CW43" s="399">
        <f>+CW$3-SUM(AU$4:AU43)-0.02</f>
        <v>-1.9073486328541334E-8</v>
      </c>
      <c r="CX43" s="399">
        <f>+CX$3-SUM(AV$4:AV43)</f>
        <v>0</v>
      </c>
      <c r="CY43" s="399">
        <f>+CY$3-SUM(AW$4:AW43)</f>
        <v>0</v>
      </c>
      <c r="CZ43" s="399">
        <f>+CZ$3-SUM(AX$4:AX43)</f>
        <v>215715099.73000002</v>
      </c>
      <c r="DA43" s="399">
        <f>+DA$3-SUM(AY$4:AY43)</f>
        <v>1139656560.24</v>
      </c>
      <c r="DB43" s="399">
        <f>+DB$3-SUM(AZ$4:AZ43)</f>
        <v>547472191.47000003</v>
      </c>
      <c r="DC43" s="399" t="e">
        <f>+DC$3-SUM(BA$4:BA43)</f>
        <v>#REF!</v>
      </c>
      <c r="DD43" s="399">
        <f>+DD$3-SUM(BB$4:BB43)</f>
        <v>0</v>
      </c>
      <c r="DE43" s="399">
        <f>+DE$3-SUM(BC$4:BC43)</f>
        <v>112020391.73999999</v>
      </c>
      <c r="DF43" s="399">
        <f>+DF$3-SUM(BD$4:BD43)</f>
        <v>23000000</v>
      </c>
      <c r="DG43" s="399">
        <f>+DG$3-SUM(BE$4:BE43)</f>
        <v>0</v>
      </c>
      <c r="DH43" s="399">
        <f>+DH$3-SUM(BF$4:BF43)</f>
        <v>61041051.780000001</v>
      </c>
      <c r="DI43" s="399">
        <f>+DI$3-SUM(BG$4:BG43)</f>
        <v>56000000</v>
      </c>
      <c r="DJ43" s="399">
        <f>+DJ$3-SUM(BH$4:BH43)</f>
        <v>36902314.299999997</v>
      </c>
      <c r="DK43" s="399">
        <f>+DK$3-SUM(BI$4:BI43)</f>
        <v>141534746.44</v>
      </c>
      <c r="DL43" s="399">
        <f>+DL$3-SUM(BJ$4:BJ43)</f>
        <v>20000000</v>
      </c>
    </row>
    <row r="44" spans="1:116" s="106" customFormat="1">
      <c r="A44" s="391">
        <v>40257</v>
      </c>
      <c r="B44" s="393">
        <v>0</v>
      </c>
      <c r="C44" s="393">
        <v>0</v>
      </c>
      <c r="D44" s="393">
        <v>0</v>
      </c>
      <c r="E44" s="393">
        <v>215715099.72407547</v>
      </c>
      <c r="F44" s="393">
        <v>1139656560.236115</v>
      </c>
      <c r="G44" s="393">
        <v>547472191.47029364</v>
      </c>
      <c r="H44" s="393">
        <v>500000000</v>
      </c>
      <c r="I44" s="393">
        <v>0</v>
      </c>
      <c r="J44" s="393">
        <v>112020391.73598069</v>
      </c>
      <c r="K44" s="393">
        <v>23000000</v>
      </c>
      <c r="L44" s="393">
        <v>0</v>
      </c>
      <c r="M44" s="393">
        <v>61041051.784276903</v>
      </c>
      <c r="N44" s="393">
        <v>56000000</v>
      </c>
      <c r="O44" s="393">
        <v>36902314.302282669</v>
      </c>
      <c r="P44" s="393">
        <v>141534746.44486183</v>
      </c>
      <c r="Q44" s="393">
        <v>20000000</v>
      </c>
      <c r="R44" s="394">
        <f t="shared" si="2"/>
        <v>2853342355.6978865</v>
      </c>
      <c r="S44" s="391">
        <v>40257</v>
      </c>
      <c r="T44" s="395">
        <f t="shared" si="23"/>
        <v>0</v>
      </c>
      <c r="U44" s="395">
        <f t="shared" si="24"/>
        <v>0</v>
      </c>
      <c r="V44" s="395">
        <f t="shared" si="25"/>
        <v>0</v>
      </c>
      <c r="W44" s="395">
        <f t="shared" si="26"/>
        <v>0</v>
      </c>
      <c r="X44" s="395">
        <f t="shared" si="27"/>
        <v>0</v>
      </c>
      <c r="Y44" s="395">
        <f t="shared" si="28"/>
        <v>0</v>
      </c>
      <c r="Z44" s="395">
        <f t="shared" si="29"/>
        <v>0</v>
      </c>
      <c r="AA44" s="395">
        <f t="shared" si="30"/>
        <v>0</v>
      </c>
      <c r="AB44" s="395">
        <f t="shared" si="31"/>
        <v>0</v>
      </c>
      <c r="AC44" s="395">
        <f t="shared" si="32"/>
        <v>0</v>
      </c>
      <c r="AD44" s="395">
        <f t="shared" si="33"/>
        <v>0</v>
      </c>
      <c r="AE44" s="395">
        <f t="shared" si="34"/>
        <v>0</v>
      </c>
      <c r="AF44" s="395">
        <f t="shared" si="35"/>
        <v>0</v>
      </c>
      <c r="AG44" s="395">
        <f t="shared" si="36"/>
        <v>0</v>
      </c>
      <c r="AH44" s="395">
        <f t="shared" si="37"/>
        <v>0</v>
      </c>
      <c r="AI44" s="395">
        <f t="shared" si="38"/>
        <v>0</v>
      </c>
      <c r="AJ44" s="395">
        <f t="shared" si="39"/>
        <v>0</v>
      </c>
      <c r="AK44" s="396"/>
      <c r="AL44" s="391">
        <v>40257</v>
      </c>
      <c r="AM44" s="397">
        <f t="shared" si="40"/>
        <v>2402843851.4304843</v>
      </c>
      <c r="AN44" s="397">
        <f t="shared" si="41"/>
        <v>135020391.73598069</v>
      </c>
      <c r="AO44" s="397">
        <f t="shared" si="42"/>
        <v>117041051.7842769</v>
      </c>
      <c r="AP44" s="397">
        <f t="shared" si="43"/>
        <v>198437060.74714449</v>
      </c>
      <c r="AQ44" s="397">
        <f t="shared" si="4"/>
        <v>2853342355.6978865</v>
      </c>
      <c r="AR44" s="353"/>
      <c r="AT44" s="391">
        <v>40257</v>
      </c>
      <c r="AU44" s="63">
        <v>0</v>
      </c>
      <c r="AV44" s="63">
        <v>0</v>
      </c>
      <c r="AW44" s="63">
        <v>0</v>
      </c>
      <c r="AX44" s="63">
        <v>0</v>
      </c>
      <c r="AY44" s="63">
        <v>0</v>
      </c>
      <c r="AZ44" s="63">
        <v>0</v>
      </c>
      <c r="BA44" s="63">
        <v>0</v>
      </c>
      <c r="BB44" s="63">
        <v>0</v>
      </c>
      <c r="BC44" s="63">
        <v>0</v>
      </c>
      <c r="BD44" s="63">
        <v>0</v>
      </c>
      <c r="BE44" s="63">
        <v>0</v>
      </c>
      <c r="BF44" s="63">
        <v>0</v>
      </c>
      <c r="BG44" s="63">
        <v>0</v>
      </c>
      <c r="BH44" s="63">
        <v>0</v>
      </c>
      <c r="BI44" s="63">
        <v>0</v>
      </c>
      <c r="BJ44" s="63">
        <v>0</v>
      </c>
      <c r="BL44" s="391">
        <v>40257</v>
      </c>
      <c r="BM44" s="397">
        <f t="shared" si="5"/>
        <v>0</v>
      </c>
      <c r="BN44" s="397">
        <f t="shared" si="6"/>
        <v>0</v>
      </c>
      <c r="BO44" s="397">
        <f t="shared" si="7"/>
        <v>0</v>
      </c>
      <c r="BP44" s="397">
        <f t="shared" si="8"/>
        <v>0</v>
      </c>
      <c r="BQ44" s="397">
        <f t="shared" si="9"/>
        <v>0</v>
      </c>
      <c r="BR44" s="397">
        <f t="shared" si="10"/>
        <v>0</v>
      </c>
      <c r="BS44" s="397">
        <f t="shared" si="11"/>
        <v>0</v>
      </c>
      <c r="BT44" s="397">
        <f t="shared" si="12"/>
        <v>0</v>
      </c>
      <c r="BU44" s="397">
        <f t="shared" si="13"/>
        <v>0</v>
      </c>
      <c r="BV44" s="397">
        <f t="shared" si="14"/>
        <v>0</v>
      </c>
      <c r="BW44" s="397">
        <f t="shared" si="15"/>
        <v>0</v>
      </c>
      <c r="BX44" s="397">
        <f t="shared" si="16"/>
        <v>0</v>
      </c>
      <c r="BY44" s="397">
        <f t="shared" si="17"/>
        <v>0</v>
      </c>
      <c r="BZ44" s="397">
        <f t="shared" si="18"/>
        <v>0</v>
      </c>
      <c r="CA44" s="397">
        <f t="shared" si="19"/>
        <v>0</v>
      </c>
      <c r="CB44" s="397">
        <f t="shared" si="20"/>
        <v>0</v>
      </c>
      <c r="CC44" s="391">
        <v>40257</v>
      </c>
      <c r="CD44" s="397">
        <f t="shared" si="61"/>
        <v>0</v>
      </c>
      <c r="CE44" s="397">
        <f t="shared" si="62"/>
        <v>0</v>
      </c>
      <c r="CF44" s="397">
        <f t="shared" si="63"/>
        <v>0</v>
      </c>
      <c r="CG44" s="397">
        <f t="shared" si="64"/>
        <v>0</v>
      </c>
      <c r="CH44" s="397">
        <f t="shared" si="65"/>
        <v>0</v>
      </c>
      <c r="CI44" s="397">
        <f t="shared" si="66"/>
        <v>0</v>
      </c>
      <c r="CJ44" s="397" t="e">
        <f t="shared" si="67"/>
        <v>#REF!</v>
      </c>
      <c r="CK44" s="397">
        <f t="shared" si="68"/>
        <v>0</v>
      </c>
      <c r="CL44" s="397">
        <f t="shared" si="69"/>
        <v>0</v>
      </c>
      <c r="CM44" s="397">
        <f t="shared" si="70"/>
        <v>0</v>
      </c>
      <c r="CN44" s="397">
        <f t="shared" si="71"/>
        <v>0</v>
      </c>
      <c r="CO44" s="397">
        <f t="shared" si="72"/>
        <v>0</v>
      </c>
      <c r="CP44" s="397">
        <f t="shared" si="73"/>
        <v>0</v>
      </c>
      <c r="CQ44" s="397">
        <f t="shared" si="74"/>
        <v>0</v>
      </c>
      <c r="CR44" s="397">
        <f t="shared" si="75"/>
        <v>0</v>
      </c>
      <c r="CS44" s="397">
        <f t="shared" si="76"/>
        <v>0</v>
      </c>
      <c r="CT44" s="398" t="e">
        <f t="shared" si="60"/>
        <v>#REF!</v>
      </c>
      <c r="CV44" s="391">
        <v>40257</v>
      </c>
      <c r="CW44" s="399">
        <f>+CW$3-SUM(AU$4:AU44)-0.02</f>
        <v>-1.9073486328541334E-8</v>
      </c>
      <c r="CX44" s="399">
        <f>+CX$3-SUM(AV$4:AV44)</f>
        <v>0</v>
      </c>
      <c r="CY44" s="399">
        <f>+CY$3-SUM(AW$4:AW44)</f>
        <v>0</v>
      </c>
      <c r="CZ44" s="399">
        <f>+CZ$3-SUM(AX$4:AX44)</f>
        <v>215715099.73000002</v>
      </c>
      <c r="DA44" s="399">
        <f>+DA$3-SUM(AY$4:AY44)</f>
        <v>1139656560.24</v>
      </c>
      <c r="DB44" s="399">
        <f>+DB$3-SUM(AZ$4:AZ44)</f>
        <v>547472191.47000003</v>
      </c>
      <c r="DC44" s="399" t="e">
        <f>+DC$3-SUM(BA$4:BA44)</f>
        <v>#REF!</v>
      </c>
      <c r="DD44" s="399">
        <f>+DD$3-SUM(BB$4:BB44)</f>
        <v>0</v>
      </c>
      <c r="DE44" s="399">
        <f>+DE$3-SUM(BC$4:BC44)</f>
        <v>112020391.73999999</v>
      </c>
      <c r="DF44" s="399">
        <f>+DF$3-SUM(BD$4:BD44)</f>
        <v>23000000</v>
      </c>
      <c r="DG44" s="399">
        <f>+DG$3-SUM(BE$4:BE44)</f>
        <v>0</v>
      </c>
      <c r="DH44" s="399">
        <f>+DH$3-SUM(BF$4:BF44)</f>
        <v>61041051.780000001</v>
      </c>
      <c r="DI44" s="399">
        <f>+DI$3-SUM(BG$4:BG44)</f>
        <v>56000000</v>
      </c>
      <c r="DJ44" s="399">
        <f>+DJ$3-SUM(BH$4:BH44)</f>
        <v>36902314.299999997</v>
      </c>
      <c r="DK44" s="399">
        <f>+DK$3-SUM(BI$4:BI44)</f>
        <v>141534746.44</v>
      </c>
      <c r="DL44" s="399">
        <f>+DL$3-SUM(BJ$4:BJ44)</f>
        <v>20000000</v>
      </c>
    </row>
    <row r="45" spans="1:116" s="106" customFormat="1">
      <c r="A45" s="391">
        <v>40288</v>
      </c>
      <c r="B45" s="393">
        <v>0</v>
      </c>
      <c r="C45" s="393">
        <v>0</v>
      </c>
      <c r="D45" s="393">
        <v>0</v>
      </c>
      <c r="E45" s="393">
        <v>215715099.72407547</v>
      </c>
      <c r="F45" s="393">
        <v>1139656560.236115</v>
      </c>
      <c r="G45" s="393">
        <v>547472191.47029364</v>
      </c>
      <c r="H45" s="393">
        <v>500000000</v>
      </c>
      <c r="I45" s="393">
        <v>0</v>
      </c>
      <c r="J45" s="393">
        <v>112020391.73598069</v>
      </c>
      <c r="K45" s="393">
        <v>23000000</v>
      </c>
      <c r="L45" s="393">
        <v>0</v>
      </c>
      <c r="M45" s="393">
        <v>61041051.784276903</v>
      </c>
      <c r="N45" s="393">
        <v>56000000</v>
      </c>
      <c r="O45" s="393">
        <v>36902314.302282669</v>
      </c>
      <c r="P45" s="393">
        <v>141534746.44486183</v>
      </c>
      <c r="Q45" s="393">
        <v>20000000</v>
      </c>
      <c r="R45" s="394">
        <f t="shared" si="2"/>
        <v>2853342355.6978865</v>
      </c>
      <c r="S45" s="391">
        <v>40288</v>
      </c>
      <c r="T45" s="395">
        <f t="shared" si="23"/>
        <v>0</v>
      </c>
      <c r="U45" s="395">
        <f t="shared" si="24"/>
        <v>0</v>
      </c>
      <c r="V45" s="395">
        <f t="shared" si="25"/>
        <v>0</v>
      </c>
      <c r="W45" s="395">
        <f t="shared" si="26"/>
        <v>0</v>
      </c>
      <c r="X45" s="395">
        <f t="shared" si="27"/>
        <v>0</v>
      </c>
      <c r="Y45" s="395">
        <f t="shared" si="28"/>
        <v>0</v>
      </c>
      <c r="Z45" s="395">
        <f t="shared" si="29"/>
        <v>0</v>
      </c>
      <c r="AA45" s="395">
        <f t="shared" si="30"/>
        <v>0</v>
      </c>
      <c r="AB45" s="395">
        <f t="shared" si="31"/>
        <v>0</v>
      </c>
      <c r="AC45" s="395">
        <f t="shared" si="32"/>
        <v>0</v>
      </c>
      <c r="AD45" s="395">
        <f t="shared" si="33"/>
        <v>0</v>
      </c>
      <c r="AE45" s="395">
        <f t="shared" si="34"/>
        <v>0</v>
      </c>
      <c r="AF45" s="395">
        <f t="shared" si="35"/>
        <v>0</v>
      </c>
      <c r="AG45" s="395">
        <f t="shared" si="36"/>
        <v>0</v>
      </c>
      <c r="AH45" s="395">
        <f t="shared" si="37"/>
        <v>0</v>
      </c>
      <c r="AI45" s="395">
        <f t="shared" si="38"/>
        <v>0</v>
      </c>
      <c r="AJ45" s="395">
        <f t="shared" si="39"/>
        <v>0</v>
      </c>
      <c r="AK45" s="396"/>
      <c r="AL45" s="391">
        <v>40288</v>
      </c>
      <c r="AM45" s="397">
        <f t="shared" si="40"/>
        <v>2402843851.4304843</v>
      </c>
      <c r="AN45" s="397">
        <f t="shared" si="41"/>
        <v>135020391.73598069</v>
      </c>
      <c r="AO45" s="397">
        <f t="shared" si="42"/>
        <v>117041051.7842769</v>
      </c>
      <c r="AP45" s="397">
        <f t="shared" si="43"/>
        <v>198437060.74714449</v>
      </c>
      <c r="AQ45" s="397">
        <f t="shared" si="4"/>
        <v>2853342355.6978865</v>
      </c>
      <c r="AR45" s="353"/>
      <c r="AT45" s="391">
        <v>40288</v>
      </c>
      <c r="AU45" s="63">
        <v>0</v>
      </c>
      <c r="AV45" s="63">
        <v>0</v>
      </c>
      <c r="AW45" s="63">
        <v>0</v>
      </c>
      <c r="AX45" s="63">
        <v>0</v>
      </c>
      <c r="AY45" s="63">
        <v>0</v>
      </c>
      <c r="AZ45" s="63">
        <v>0</v>
      </c>
      <c r="BA45" s="63">
        <v>0</v>
      </c>
      <c r="BB45" s="63">
        <v>0</v>
      </c>
      <c r="BC45" s="63">
        <v>0</v>
      </c>
      <c r="BD45" s="63">
        <v>0</v>
      </c>
      <c r="BE45" s="63">
        <v>0</v>
      </c>
      <c r="BF45" s="63">
        <v>0</v>
      </c>
      <c r="BG45" s="63">
        <v>0</v>
      </c>
      <c r="BH45" s="63">
        <v>0</v>
      </c>
      <c r="BI45" s="63">
        <v>0</v>
      </c>
      <c r="BJ45" s="63">
        <v>0</v>
      </c>
      <c r="BL45" s="391">
        <v>40288</v>
      </c>
      <c r="BM45" s="397">
        <f t="shared" si="5"/>
        <v>0</v>
      </c>
      <c r="BN45" s="397">
        <f t="shared" si="6"/>
        <v>0</v>
      </c>
      <c r="BO45" s="397">
        <f t="shared" si="7"/>
        <v>0</v>
      </c>
      <c r="BP45" s="397">
        <f t="shared" si="8"/>
        <v>0</v>
      </c>
      <c r="BQ45" s="397">
        <f t="shared" si="9"/>
        <v>0</v>
      </c>
      <c r="BR45" s="397">
        <f t="shared" si="10"/>
        <v>0</v>
      </c>
      <c r="BS45" s="397">
        <f t="shared" si="11"/>
        <v>0</v>
      </c>
      <c r="BT45" s="397">
        <f t="shared" si="12"/>
        <v>0</v>
      </c>
      <c r="BU45" s="397">
        <f t="shared" si="13"/>
        <v>0</v>
      </c>
      <c r="BV45" s="397">
        <f t="shared" si="14"/>
        <v>0</v>
      </c>
      <c r="BW45" s="397">
        <f t="shared" si="15"/>
        <v>0</v>
      </c>
      <c r="BX45" s="397">
        <f t="shared" si="16"/>
        <v>0</v>
      </c>
      <c r="BY45" s="397">
        <f t="shared" si="17"/>
        <v>0</v>
      </c>
      <c r="BZ45" s="397">
        <f t="shared" si="18"/>
        <v>0</v>
      </c>
      <c r="CA45" s="397">
        <f t="shared" si="19"/>
        <v>0</v>
      </c>
      <c r="CB45" s="397">
        <f t="shared" si="20"/>
        <v>0</v>
      </c>
      <c r="CC45" s="391">
        <v>40288</v>
      </c>
      <c r="CD45" s="397">
        <f t="shared" si="61"/>
        <v>0</v>
      </c>
      <c r="CE45" s="397">
        <f t="shared" si="62"/>
        <v>0</v>
      </c>
      <c r="CF45" s="397">
        <f t="shared" si="63"/>
        <v>0</v>
      </c>
      <c r="CG45" s="397">
        <f t="shared" si="64"/>
        <v>0</v>
      </c>
      <c r="CH45" s="397">
        <f t="shared" si="65"/>
        <v>0</v>
      </c>
      <c r="CI45" s="397">
        <f t="shared" si="66"/>
        <v>0</v>
      </c>
      <c r="CJ45" s="397" t="e">
        <f t="shared" si="67"/>
        <v>#REF!</v>
      </c>
      <c r="CK45" s="397">
        <f t="shared" si="68"/>
        <v>0</v>
      </c>
      <c r="CL45" s="397">
        <f t="shared" si="69"/>
        <v>0</v>
      </c>
      <c r="CM45" s="397">
        <f t="shared" si="70"/>
        <v>0</v>
      </c>
      <c r="CN45" s="397">
        <f t="shared" si="71"/>
        <v>0</v>
      </c>
      <c r="CO45" s="397">
        <f t="shared" si="72"/>
        <v>0</v>
      </c>
      <c r="CP45" s="397">
        <f t="shared" si="73"/>
        <v>0</v>
      </c>
      <c r="CQ45" s="397">
        <f t="shared" si="74"/>
        <v>0</v>
      </c>
      <c r="CR45" s="397">
        <f t="shared" si="75"/>
        <v>0</v>
      </c>
      <c r="CS45" s="397">
        <f t="shared" si="76"/>
        <v>0</v>
      </c>
      <c r="CT45" s="398" t="e">
        <f t="shared" si="60"/>
        <v>#REF!</v>
      </c>
      <c r="CV45" s="391">
        <v>40288</v>
      </c>
      <c r="CW45" s="399">
        <f>+CW$3-SUM(AU$4:AU45)-0.02</f>
        <v>-1.9073486328541334E-8</v>
      </c>
      <c r="CX45" s="399">
        <f>+CX$3-SUM(AV$4:AV45)</f>
        <v>0</v>
      </c>
      <c r="CY45" s="399">
        <f>+CY$3-SUM(AW$4:AW45)</f>
        <v>0</v>
      </c>
      <c r="CZ45" s="399">
        <f>+CZ$3-SUM(AX$4:AX45)</f>
        <v>215715099.73000002</v>
      </c>
      <c r="DA45" s="399">
        <f>+DA$3-SUM(AY$4:AY45)</f>
        <v>1139656560.24</v>
      </c>
      <c r="DB45" s="399">
        <f>+DB$3-SUM(AZ$4:AZ45)</f>
        <v>547472191.47000003</v>
      </c>
      <c r="DC45" s="399" t="e">
        <f>+DC$3-SUM(BA$4:BA45)</f>
        <v>#REF!</v>
      </c>
      <c r="DD45" s="399">
        <f>+DD$3-SUM(BB$4:BB45)</f>
        <v>0</v>
      </c>
      <c r="DE45" s="399">
        <f>+DE$3-SUM(BC$4:BC45)</f>
        <v>112020391.73999999</v>
      </c>
      <c r="DF45" s="399">
        <f>+DF$3-SUM(BD$4:BD45)</f>
        <v>23000000</v>
      </c>
      <c r="DG45" s="399">
        <f>+DG$3-SUM(BE$4:BE45)</f>
        <v>0</v>
      </c>
      <c r="DH45" s="399">
        <f>+DH$3-SUM(BF$4:BF45)</f>
        <v>61041051.780000001</v>
      </c>
      <c r="DI45" s="399">
        <f>+DI$3-SUM(BG$4:BG45)</f>
        <v>56000000</v>
      </c>
      <c r="DJ45" s="399">
        <f>+DJ$3-SUM(BH$4:BH45)</f>
        <v>36902314.299999997</v>
      </c>
      <c r="DK45" s="399">
        <f>+DK$3-SUM(BI$4:BI45)</f>
        <v>141534746.44</v>
      </c>
      <c r="DL45" s="399">
        <f>+DL$3-SUM(BJ$4:BJ45)</f>
        <v>20000000</v>
      </c>
    </row>
    <row r="46" spans="1:116" s="106" customFormat="1">
      <c r="A46" s="391">
        <v>40318</v>
      </c>
      <c r="B46" s="393">
        <v>0</v>
      </c>
      <c r="C46" s="393">
        <v>0</v>
      </c>
      <c r="D46" s="393">
        <v>0</v>
      </c>
      <c r="E46" s="393">
        <v>60749464.759527251</v>
      </c>
      <c r="F46" s="393">
        <v>1139656560.236115</v>
      </c>
      <c r="G46" s="393">
        <v>547472191.47029364</v>
      </c>
      <c r="H46" s="393">
        <v>500000000</v>
      </c>
      <c r="I46" s="393">
        <v>0</v>
      </c>
      <c r="J46" s="393">
        <v>112020391.73598069</v>
      </c>
      <c r="K46" s="393">
        <v>23000000</v>
      </c>
      <c r="L46" s="393">
        <v>0</v>
      </c>
      <c r="M46" s="393">
        <v>61041051.784276903</v>
      </c>
      <c r="N46" s="393">
        <v>56000000</v>
      </c>
      <c r="O46" s="393">
        <v>36902314.302282669</v>
      </c>
      <c r="P46" s="393">
        <v>141534746.44486183</v>
      </c>
      <c r="Q46" s="393">
        <v>20000000</v>
      </c>
      <c r="R46" s="394">
        <f t="shared" si="2"/>
        <v>2698376720.7333379</v>
      </c>
      <c r="S46" s="588">
        <v>40318</v>
      </c>
      <c r="T46" s="589">
        <f t="shared" si="23"/>
        <v>0</v>
      </c>
      <c r="U46" s="589">
        <f t="shared" si="24"/>
        <v>0</v>
      </c>
      <c r="V46" s="589">
        <f t="shared" si="25"/>
        <v>0</v>
      </c>
      <c r="W46" s="589">
        <f t="shared" si="26"/>
        <v>154965634.96000001</v>
      </c>
      <c r="X46" s="589">
        <f t="shared" si="27"/>
        <v>0</v>
      </c>
      <c r="Y46" s="589">
        <f t="shared" si="28"/>
        <v>0</v>
      </c>
      <c r="Z46" s="589">
        <f t="shared" si="29"/>
        <v>0</v>
      </c>
      <c r="AA46" s="589">
        <f t="shared" si="30"/>
        <v>0</v>
      </c>
      <c r="AB46" s="589">
        <f t="shared" si="31"/>
        <v>0</v>
      </c>
      <c r="AC46" s="589">
        <f t="shared" si="32"/>
        <v>0</v>
      </c>
      <c r="AD46" s="589">
        <f t="shared" si="33"/>
        <v>0</v>
      </c>
      <c r="AE46" s="589">
        <f t="shared" si="34"/>
        <v>0</v>
      </c>
      <c r="AF46" s="589">
        <f t="shared" si="35"/>
        <v>0</v>
      </c>
      <c r="AG46" s="589">
        <f t="shared" si="36"/>
        <v>0</v>
      </c>
      <c r="AH46" s="589">
        <f t="shared" si="37"/>
        <v>0</v>
      </c>
      <c r="AI46" s="589">
        <f t="shared" si="38"/>
        <v>0</v>
      </c>
      <c r="AJ46" s="589">
        <f t="shared" si="39"/>
        <v>154965634.96000001</v>
      </c>
      <c r="AK46" s="396"/>
      <c r="AL46" s="391">
        <v>40318</v>
      </c>
      <c r="AM46" s="397">
        <f t="shared" si="40"/>
        <v>2247878216.4659357</v>
      </c>
      <c r="AN46" s="397">
        <f t="shared" si="41"/>
        <v>135020391.73598069</v>
      </c>
      <c r="AO46" s="397">
        <f t="shared" si="42"/>
        <v>117041051.7842769</v>
      </c>
      <c r="AP46" s="397">
        <f t="shared" si="43"/>
        <v>198437060.74714449</v>
      </c>
      <c r="AQ46" s="397">
        <f t="shared" si="4"/>
        <v>2698376720.7333379</v>
      </c>
      <c r="AR46" s="353"/>
      <c r="AT46" s="391">
        <v>40318</v>
      </c>
      <c r="AU46" s="63">
        <v>0</v>
      </c>
      <c r="AV46" s="63">
        <v>0</v>
      </c>
      <c r="AW46" s="63">
        <v>0</v>
      </c>
      <c r="AX46" s="85">
        <v>154965634.96000001</v>
      </c>
      <c r="AY46" s="63">
        <v>0</v>
      </c>
      <c r="AZ46" s="63">
        <v>0</v>
      </c>
      <c r="BA46" s="63">
        <v>0</v>
      </c>
      <c r="BB46" s="63">
        <v>0</v>
      </c>
      <c r="BC46" s="63">
        <v>0</v>
      </c>
      <c r="BD46" s="63">
        <v>0</v>
      </c>
      <c r="BE46" s="63">
        <v>0</v>
      </c>
      <c r="BF46" s="63">
        <v>0</v>
      </c>
      <c r="BG46" s="63">
        <v>0</v>
      </c>
      <c r="BH46" s="63">
        <v>0</v>
      </c>
      <c r="BI46" s="63">
        <v>0</v>
      </c>
      <c r="BJ46" s="63">
        <v>0</v>
      </c>
      <c r="BL46" s="391">
        <v>40318</v>
      </c>
      <c r="BM46" s="397">
        <f t="shared" si="5"/>
        <v>0</v>
      </c>
      <c r="BN46" s="397">
        <f t="shared" si="6"/>
        <v>0</v>
      </c>
      <c r="BO46" s="397">
        <f t="shared" si="7"/>
        <v>0</v>
      </c>
      <c r="BP46" s="397">
        <f t="shared" si="8"/>
        <v>0</v>
      </c>
      <c r="BQ46" s="397">
        <f t="shared" si="9"/>
        <v>0</v>
      </c>
      <c r="BR46" s="397">
        <f t="shared" si="10"/>
        <v>0</v>
      </c>
      <c r="BS46" s="397">
        <f t="shared" si="11"/>
        <v>0</v>
      </c>
      <c r="BT46" s="397">
        <f t="shared" si="12"/>
        <v>0</v>
      </c>
      <c r="BU46" s="397">
        <f t="shared" si="13"/>
        <v>0</v>
      </c>
      <c r="BV46" s="397">
        <f t="shared" si="14"/>
        <v>0</v>
      </c>
      <c r="BW46" s="397">
        <f t="shared" si="15"/>
        <v>0</v>
      </c>
      <c r="BX46" s="397">
        <f t="shared" si="16"/>
        <v>0</v>
      </c>
      <c r="BY46" s="397">
        <f t="shared" si="17"/>
        <v>0</v>
      </c>
      <c r="BZ46" s="397">
        <f t="shared" si="18"/>
        <v>0</v>
      </c>
      <c r="CA46" s="397">
        <f t="shared" si="19"/>
        <v>0</v>
      </c>
      <c r="CB46" s="397">
        <f t="shared" si="20"/>
        <v>0</v>
      </c>
      <c r="CC46" s="391">
        <v>40318</v>
      </c>
      <c r="CD46" s="397">
        <f t="shared" si="61"/>
        <v>0</v>
      </c>
      <c r="CE46" s="397">
        <f t="shared" si="62"/>
        <v>0</v>
      </c>
      <c r="CF46" s="397">
        <f t="shared" si="63"/>
        <v>0</v>
      </c>
      <c r="CG46" s="397">
        <f t="shared" si="64"/>
        <v>0</v>
      </c>
      <c r="CH46" s="397">
        <f t="shared" si="65"/>
        <v>0</v>
      </c>
      <c r="CI46" s="397">
        <f t="shared" si="66"/>
        <v>0</v>
      </c>
      <c r="CJ46" s="397" t="e">
        <f t="shared" si="67"/>
        <v>#REF!</v>
      </c>
      <c r="CK46" s="397">
        <f t="shared" si="68"/>
        <v>0</v>
      </c>
      <c r="CL46" s="397">
        <f t="shared" si="69"/>
        <v>0</v>
      </c>
      <c r="CM46" s="397">
        <f t="shared" si="70"/>
        <v>0</v>
      </c>
      <c r="CN46" s="397">
        <f t="shared" si="71"/>
        <v>0</v>
      </c>
      <c r="CO46" s="397">
        <f t="shared" si="72"/>
        <v>0</v>
      </c>
      <c r="CP46" s="397">
        <f t="shared" si="73"/>
        <v>0</v>
      </c>
      <c r="CQ46" s="397">
        <f t="shared" si="74"/>
        <v>0</v>
      </c>
      <c r="CR46" s="397">
        <f t="shared" si="75"/>
        <v>0</v>
      </c>
      <c r="CS46" s="397">
        <f t="shared" si="76"/>
        <v>0</v>
      </c>
      <c r="CT46" s="398" t="e">
        <f t="shared" si="60"/>
        <v>#REF!</v>
      </c>
      <c r="CV46" s="391">
        <v>40318</v>
      </c>
      <c r="CW46" s="399">
        <f>+CW$3-SUM(AU$4:AU46)-0.02</f>
        <v>-1.9073486328541334E-8</v>
      </c>
      <c r="CX46" s="399">
        <f>+CX$3-SUM(AV$4:AV46)</f>
        <v>0</v>
      </c>
      <c r="CY46" s="399">
        <f>+CY$3-SUM(AW$4:AW46)</f>
        <v>0</v>
      </c>
      <c r="CZ46" s="399">
        <f>+CZ$3-SUM(AX$4:AX46)</f>
        <v>60749464.769999981</v>
      </c>
      <c r="DA46" s="399">
        <f>+DA$3-SUM(AY$4:AY46)</f>
        <v>1139656560.24</v>
      </c>
      <c r="DB46" s="399">
        <f>+DB$3-SUM(AZ$4:AZ46)</f>
        <v>547472191.47000003</v>
      </c>
      <c r="DC46" s="399" t="e">
        <f>+DC$3-SUM(BA$4:BA46)</f>
        <v>#REF!</v>
      </c>
      <c r="DD46" s="399">
        <f>+DD$3-SUM(BB$4:BB46)</f>
        <v>0</v>
      </c>
      <c r="DE46" s="399">
        <f>+DE$3-SUM(BC$4:BC46)</f>
        <v>112020391.73999999</v>
      </c>
      <c r="DF46" s="399">
        <f>+DF$3-SUM(BD$4:BD46)</f>
        <v>23000000</v>
      </c>
      <c r="DG46" s="399">
        <f>+DG$3-SUM(BE$4:BE46)</f>
        <v>0</v>
      </c>
      <c r="DH46" s="399">
        <f>+DH$3-SUM(BF$4:BF46)</f>
        <v>61041051.780000001</v>
      </c>
      <c r="DI46" s="399">
        <f>+DI$3-SUM(BG$4:BG46)</f>
        <v>56000000</v>
      </c>
      <c r="DJ46" s="399">
        <f>+DJ$3-SUM(BH$4:BH46)</f>
        <v>36902314.299999997</v>
      </c>
      <c r="DK46" s="399">
        <f>+DK$3-SUM(BI$4:BI46)</f>
        <v>141534746.44</v>
      </c>
      <c r="DL46" s="399">
        <f>+DL$3-SUM(BJ$4:BJ46)</f>
        <v>20000000</v>
      </c>
    </row>
    <row r="47" spans="1:116" s="106" customFormat="1">
      <c r="A47" s="391">
        <v>40349</v>
      </c>
      <c r="B47" s="393">
        <v>0</v>
      </c>
      <c r="C47" s="393">
        <v>0</v>
      </c>
      <c r="D47" s="393">
        <v>0</v>
      </c>
      <c r="E47" s="393">
        <v>60749464.759527251</v>
      </c>
      <c r="F47" s="393">
        <v>1139656560.236115</v>
      </c>
      <c r="G47" s="393">
        <v>547472191.47029364</v>
      </c>
      <c r="H47" s="393">
        <v>500000000</v>
      </c>
      <c r="I47" s="393">
        <v>0</v>
      </c>
      <c r="J47" s="393">
        <v>112020391.73598069</v>
      </c>
      <c r="K47" s="393">
        <v>23000000</v>
      </c>
      <c r="L47" s="393">
        <v>0</v>
      </c>
      <c r="M47" s="393">
        <v>61041051.784276903</v>
      </c>
      <c r="N47" s="393">
        <v>56000000</v>
      </c>
      <c r="O47" s="393">
        <v>36902314.302282669</v>
      </c>
      <c r="P47" s="393">
        <v>141534746.44486183</v>
      </c>
      <c r="Q47" s="393">
        <v>20000000</v>
      </c>
      <c r="R47" s="394">
        <f t="shared" si="2"/>
        <v>2698376720.7333379</v>
      </c>
      <c r="S47" s="391">
        <v>40349</v>
      </c>
      <c r="T47" s="395">
        <f t="shared" si="23"/>
        <v>0</v>
      </c>
      <c r="U47" s="395">
        <f t="shared" si="24"/>
        <v>0</v>
      </c>
      <c r="V47" s="395">
        <f t="shared" si="25"/>
        <v>0</v>
      </c>
      <c r="W47" s="395">
        <f t="shared" si="26"/>
        <v>0</v>
      </c>
      <c r="X47" s="395">
        <f t="shared" si="27"/>
        <v>0</v>
      </c>
      <c r="Y47" s="395">
        <f t="shared" si="28"/>
        <v>0</v>
      </c>
      <c r="Z47" s="395">
        <f t="shared" si="29"/>
        <v>0</v>
      </c>
      <c r="AA47" s="395">
        <f t="shared" si="30"/>
        <v>0</v>
      </c>
      <c r="AB47" s="395">
        <f t="shared" si="31"/>
        <v>0</v>
      </c>
      <c r="AC47" s="395">
        <f t="shared" si="32"/>
        <v>0</v>
      </c>
      <c r="AD47" s="395">
        <f t="shared" si="33"/>
        <v>0</v>
      </c>
      <c r="AE47" s="395">
        <f t="shared" si="34"/>
        <v>0</v>
      </c>
      <c r="AF47" s="395">
        <f t="shared" si="35"/>
        <v>0</v>
      </c>
      <c r="AG47" s="395">
        <f t="shared" si="36"/>
        <v>0</v>
      </c>
      <c r="AH47" s="395">
        <f t="shared" si="37"/>
        <v>0</v>
      </c>
      <c r="AI47" s="395">
        <f t="shared" si="38"/>
        <v>0</v>
      </c>
      <c r="AJ47" s="395">
        <f t="shared" si="39"/>
        <v>0</v>
      </c>
      <c r="AK47" s="396"/>
      <c r="AL47" s="391">
        <v>40349</v>
      </c>
      <c r="AM47" s="397">
        <f t="shared" si="40"/>
        <v>2247878216.4659357</v>
      </c>
      <c r="AN47" s="397">
        <f t="shared" si="41"/>
        <v>135020391.73598069</v>
      </c>
      <c r="AO47" s="397">
        <f t="shared" si="42"/>
        <v>117041051.7842769</v>
      </c>
      <c r="AP47" s="397">
        <f t="shared" si="43"/>
        <v>198437060.74714449</v>
      </c>
      <c r="AQ47" s="397">
        <f t="shared" si="4"/>
        <v>2698376720.7333379</v>
      </c>
      <c r="AR47" s="353"/>
      <c r="AT47" s="391">
        <v>40349</v>
      </c>
      <c r="AU47" s="63">
        <v>0</v>
      </c>
      <c r="AV47" s="63">
        <v>0</v>
      </c>
      <c r="AW47" s="63">
        <v>0</v>
      </c>
      <c r="AX47" s="63">
        <v>0</v>
      </c>
      <c r="AY47" s="63">
        <v>0</v>
      </c>
      <c r="AZ47" s="63">
        <v>0</v>
      </c>
      <c r="BA47" s="63">
        <v>0</v>
      </c>
      <c r="BB47" s="63">
        <v>0</v>
      </c>
      <c r="BC47" s="63">
        <v>0</v>
      </c>
      <c r="BD47" s="63">
        <v>0</v>
      </c>
      <c r="BE47" s="63">
        <v>0</v>
      </c>
      <c r="BF47" s="63">
        <v>0</v>
      </c>
      <c r="BG47" s="63">
        <v>0</v>
      </c>
      <c r="BH47" s="63">
        <v>0</v>
      </c>
      <c r="BI47" s="63">
        <v>0</v>
      </c>
      <c r="BJ47" s="63">
        <v>0</v>
      </c>
      <c r="BL47" s="391">
        <v>40349</v>
      </c>
      <c r="BM47" s="397">
        <f t="shared" si="5"/>
        <v>0</v>
      </c>
      <c r="BN47" s="397">
        <f t="shared" si="6"/>
        <v>0</v>
      </c>
      <c r="BO47" s="397">
        <f t="shared" si="7"/>
        <v>0</v>
      </c>
      <c r="BP47" s="397">
        <f t="shared" si="8"/>
        <v>0</v>
      </c>
      <c r="BQ47" s="397">
        <f t="shared" si="9"/>
        <v>0</v>
      </c>
      <c r="BR47" s="397">
        <f t="shared" si="10"/>
        <v>0</v>
      </c>
      <c r="BS47" s="397">
        <f t="shared" si="11"/>
        <v>0</v>
      </c>
      <c r="BT47" s="397">
        <f t="shared" si="12"/>
        <v>0</v>
      </c>
      <c r="BU47" s="397">
        <f t="shared" si="13"/>
        <v>0</v>
      </c>
      <c r="BV47" s="397">
        <f t="shared" si="14"/>
        <v>0</v>
      </c>
      <c r="BW47" s="397">
        <f t="shared" si="15"/>
        <v>0</v>
      </c>
      <c r="BX47" s="397">
        <f t="shared" si="16"/>
        <v>0</v>
      </c>
      <c r="BY47" s="397">
        <f t="shared" si="17"/>
        <v>0</v>
      </c>
      <c r="BZ47" s="397">
        <f t="shared" si="18"/>
        <v>0</v>
      </c>
      <c r="CA47" s="397">
        <f t="shared" si="19"/>
        <v>0</v>
      </c>
      <c r="CB47" s="397">
        <f t="shared" si="20"/>
        <v>0</v>
      </c>
      <c r="CC47" s="391">
        <v>40349</v>
      </c>
      <c r="CD47" s="397">
        <f t="shared" si="61"/>
        <v>0</v>
      </c>
      <c r="CE47" s="397">
        <f t="shared" si="62"/>
        <v>0</v>
      </c>
      <c r="CF47" s="397">
        <f t="shared" si="63"/>
        <v>0</v>
      </c>
      <c r="CG47" s="397">
        <f t="shared" si="64"/>
        <v>0</v>
      </c>
      <c r="CH47" s="397">
        <f t="shared" si="65"/>
        <v>0</v>
      </c>
      <c r="CI47" s="397">
        <f t="shared" si="66"/>
        <v>0</v>
      </c>
      <c r="CJ47" s="397" t="e">
        <f t="shared" si="67"/>
        <v>#REF!</v>
      </c>
      <c r="CK47" s="397">
        <f t="shared" si="68"/>
        <v>0</v>
      </c>
      <c r="CL47" s="397">
        <f t="shared" si="69"/>
        <v>0</v>
      </c>
      <c r="CM47" s="397">
        <f t="shared" si="70"/>
        <v>0</v>
      </c>
      <c r="CN47" s="397">
        <f t="shared" si="71"/>
        <v>0</v>
      </c>
      <c r="CO47" s="397">
        <f t="shared" si="72"/>
        <v>0</v>
      </c>
      <c r="CP47" s="397">
        <f t="shared" si="73"/>
        <v>0</v>
      </c>
      <c r="CQ47" s="397">
        <f t="shared" si="74"/>
        <v>0</v>
      </c>
      <c r="CR47" s="397">
        <f t="shared" si="75"/>
        <v>0</v>
      </c>
      <c r="CS47" s="397">
        <f t="shared" si="76"/>
        <v>0</v>
      </c>
      <c r="CT47" s="398" t="e">
        <f t="shared" si="60"/>
        <v>#REF!</v>
      </c>
      <c r="CV47" s="391">
        <v>40349</v>
      </c>
      <c r="CW47" s="399">
        <f>+CW$3-SUM(AU$4:AU47)-0.02</f>
        <v>-1.9073486328541334E-8</v>
      </c>
      <c r="CX47" s="399">
        <f>+CX$3-SUM(AV$4:AV47)</f>
        <v>0</v>
      </c>
      <c r="CY47" s="399">
        <f>+CY$3-SUM(AW$4:AW47)</f>
        <v>0</v>
      </c>
      <c r="CZ47" s="399">
        <f>+CZ$3-SUM(AX$4:AX47)</f>
        <v>60749464.769999981</v>
      </c>
      <c r="DA47" s="399">
        <f>+DA$3-SUM(AY$4:AY47)</f>
        <v>1139656560.24</v>
      </c>
      <c r="DB47" s="399">
        <f>+DB$3-SUM(AZ$4:AZ47)</f>
        <v>547472191.47000003</v>
      </c>
      <c r="DC47" s="399" t="e">
        <f>+DC$3-SUM(BA$4:BA47)</f>
        <v>#REF!</v>
      </c>
      <c r="DD47" s="399">
        <f>+DD$3-SUM(BB$4:BB47)</f>
        <v>0</v>
      </c>
      <c r="DE47" s="399">
        <f>+DE$3-SUM(BC$4:BC47)</f>
        <v>112020391.73999999</v>
      </c>
      <c r="DF47" s="399">
        <f>+DF$3-SUM(BD$4:BD47)</f>
        <v>23000000</v>
      </c>
      <c r="DG47" s="399">
        <f>+DG$3-SUM(BE$4:BE47)</f>
        <v>0</v>
      </c>
      <c r="DH47" s="399">
        <f>+DH$3-SUM(BF$4:BF47)</f>
        <v>61041051.780000001</v>
      </c>
      <c r="DI47" s="399">
        <f>+DI$3-SUM(BG$4:BG47)</f>
        <v>56000000</v>
      </c>
      <c r="DJ47" s="399">
        <f>+DJ$3-SUM(BH$4:BH47)</f>
        <v>36902314.299999997</v>
      </c>
      <c r="DK47" s="399">
        <f>+DK$3-SUM(BI$4:BI47)</f>
        <v>141534746.44</v>
      </c>
      <c r="DL47" s="399">
        <f>+DL$3-SUM(BJ$4:BJ47)</f>
        <v>20000000</v>
      </c>
    </row>
    <row r="48" spans="1:116" s="106" customFormat="1">
      <c r="A48" s="391">
        <v>40379</v>
      </c>
      <c r="B48" s="393">
        <v>0</v>
      </c>
      <c r="C48" s="393">
        <v>0</v>
      </c>
      <c r="D48" s="393">
        <v>0</v>
      </c>
      <c r="E48" s="393">
        <v>60749464.759527251</v>
      </c>
      <c r="F48" s="393">
        <v>1139656560.236115</v>
      </c>
      <c r="G48" s="393">
        <v>547472191.47029364</v>
      </c>
      <c r="H48" s="393">
        <v>500000000</v>
      </c>
      <c r="I48" s="393">
        <v>0</v>
      </c>
      <c r="J48" s="393">
        <v>112020391.73598069</v>
      </c>
      <c r="K48" s="393">
        <v>23000000</v>
      </c>
      <c r="L48" s="393">
        <v>0</v>
      </c>
      <c r="M48" s="393">
        <v>61041051.784276903</v>
      </c>
      <c r="N48" s="393">
        <v>56000000</v>
      </c>
      <c r="O48" s="393">
        <v>36902314.302282669</v>
      </c>
      <c r="P48" s="393">
        <v>141534746.44486183</v>
      </c>
      <c r="Q48" s="393">
        <v>20000000</v>
      </c>
      <c r="R48" s="394">
        <f t="shared" si="2"/>
        <v>2698376720.7333379</v>
      </c>
      <c r="S48" s="391">
        <v>40379</v>
      </c>
      <c r="T48" s="395">
        <f t="shared" si="23"/>
        <v>0</v>
      </c>
      <c r="U48" s="395">
        <f t="shared" si="24"/>
        <v>0</v>
      </c>
      <c r="V48" s="395">
        <f t="shared" si="25"/>
        <v>0</v>
      </c>
      <c r="W48" s="395">
        <f t="shared" si="26"/>
        <v>0</v>
      </c>
      <c r="X48" s="395">
        <f t="shared" si="27"/>
        <v>0</v>
      </c>
      <c r="Y48" s="395">
        <f t="shared" si="28"/>
        <v>0</v>
      </c>
      <c r="Z48" s="395">
        <f t="shared" si="29"/>
        <v>0</v>
      </c>
      <c r="AA48" s="395">
        <f t="shared" si="30"/>
        <v>0</v>
      </c>
      <c r="AB48" s="395">
        <f t="shared" si="31"/>
        <v>0</v>
      </c>
      <c r="AC48" s="395">
        <f t="shared" si="32"/>
        <v>0</v>
      </c>
      <c r="AD48" s="395">
        <f t="shared" si="33"/>
        <v>0</v>
      </c>
      <c r="AE48" s="395">
        <f t="shared" si="34"/>
        <v>0</v>
      </c>
      <c r="AF48" s="395">
        <f t="shared" si="35"/>
        <v>0</v>
      </c>
      <c r="AG48" s="395">
        <f t="shared" si="36"/>
        <v>0</v>
      </c>
      <c r="AH48" s="395">
        <f t="shared" si="37"/>
        <v>0</v>
      </c>
      <c r="AI48" s="395">
        <f t="shared" si="38"/>
        <v>0</v>
      </c>
      <c r="AJ48" s="395">
        <f t="shared" si="39"/>
        <v>0</v>
      </c>
      <c r="AK48" s="396"/>
      <c r="AL48" s="391">
        <v>40379</v>
      </c>
      <c r="AM48" s="397">
        <f t="shared" si="40"/>
        <v>2247878216.4659357</v>
      </c>
      <c r="AN48" s="397">
        <f t="shared" si="41"/>
        <v>135020391.73598069</v>
      </c>
      <c r="AO48" s="397">
        <f t="shared" si="42"/>
        <v>117041051.7842769</v>
      </c>
      <c r="AP48" s="397">
        <f t="shared" si="43"/>
        <v>198437060.74714449</v>
      </c>
      <c r="AQ48" s="397">
        <f t="shared" si="4"/>
        <v>2698376720.7333379</v>
      </c>
      <c r="AR48" s="353"/>
      <c r="AT48" s="391">
        <v>40379</v>
      </c>
      <c r="AU48" s="63">
        <v>0</v>
      </c>
      <c r="AV48" s="63">
        <v>0</v>
      </c>
      <c r="AW48" s="63">
        <v>0</v>
      </c>
      <c r="AX48" s="63">
        <v>0</v>
      </c>
      <c r="AY48" s="63">
        <v>0</v>
      </c>
      <c r="AZ48" s="63">
        <v>0</v>
      </c>
      <c r="BA48" s="63">
        <v>0</v>
      </c>
      <c r="BB48" s="63">
        <v>0</v>
      </c>
      <c r="BC48" s="63">
        <v>0</v>
      </c>
      <c r="BD48" s="63">
        <v>0</v>
      </c>
      <c r="BE48" s="63">
        <v>0</v>
      </c>
      <c r="BF48" s="63">
        <v>0</v>
      </c>
      <c r="BG48" s="63">
        <v>0</v>
      </c>
      <c r="BH48" s="63">
        <v>0</v>
      </c>
      <c r="BI48" s="63">
        <v>0</v>
      </c>
      <c r="BJ48" s="63">
        <v>0</v>
      </c>
      <c r="BL48" s="391">
        <v>40379</v>
      </c>
      <c r="BM48" s="397">
        <f t="shared" si="5"/>
        <v>0</v>
      </c>
      <c r="BN48" s="397">
        <f t="shared" si="6"/>
        <v>0</v>
      </c>
      <c r="BO48" s="397">
        <f t="shared" si="7"/>
        <v>0</v>
      </c>
      <c r="BP48" s="397">
        <f t="shared" si="8"/>
        <v>0</v>
      </c>
      <c r="BQ48" s="397">
        <f t="shared" si="9"/>
        <v>0</v>
      </c>
      <c r="BR48" s="397">
        <f t="shared" si="10"/>
        <v>0</v>
      </c>
      <c r="BS48" s="397">
        <f t="shared" si="11"/>
        <v>0</v>
      </c>
      <c r="BT48" s="397">
        <f t="shared" si="12"/>
        <v>0</v>
      </c>
      <c r="BU48" s="397">
        <f t="shared" si="13"/>
        <v>0</v>
      </c>
      <c r="BV48" s="397">
        <f t="shared" si="14"/>
        <v>0</v>
      </c>
      <c r="BW48" s="397">
        <f t="shared" si="15"/>
        <v>0</v>
      </c>
      <c r="BX48" s="397">
        <f t="shared" si="16"/>
        <v>0</v>
      </c>
      <c r="BY48" s="397">
        <f t="shared" si="17"/>
        <v>0</v>
      </c>
      <c r="BZ48" s="397">
        <f t="shared" si="18"/>
        <v>0</v>
      </c>
      <c r="CA48" s="397">
        <f t="shared" si="19"/>
        <v>0</v>
      </c>
      <c r="CB48" s="397">
        <f t="shared" si="20"/>
        <v>0</v>
      </c>
      <c r="CC48" s="391">
        <v>40379</v>
      </c>
      <c r="CD48" s="397">
        <f t="shared" si="61"/>
        <v>0</v>
      </c>
      <c r="CE48" s="397">
        <f t="shared" si="62"/>
        <v>0</v>
      </c>
      <c r="CF48" s="397">
        <f t="shared" si="63"/>
        <v>0</v>
      </c>
      <c r="CG48" s="397">
        <f t="shared" si="64"/>
        <v>0</v>
      </c>
      <c r="CH48" s="397">
        <f t="shared" si="65"/>
        <v>0</v>
      </c>
      <c r="CI48" s="397">
        <f t="shared" si="66"/>
        <v>0</v>
      </c>
      <c r="CJ48" s="397" t="e">
        <f t="shared" si="67"/>
        <v>#REF!</v>
      </c>
      <c r="CK48" s="397">
        <f t="shared" si="68"/>
        <v>0</v>
      </c>
      <c r="CL48" s="397">
        <f t="shared" si="69"/>
        <v>0</v>
      </c>
      <c r="CM48" s="397">
        <f t="shared" si="70"/>
        <v>0</v>
      </c>
      <c r="CN48" s="397">
        <f t="shared" si="71"/>
        <v>0</v>
      </c>
      <c r="CO48" s="397">
        <f t="shared" si="72"/>
        <v>0</v>
      </c>
      <c r="CP48" s="397">
        <f t="shared" si="73"/>
        <v>0</v>
      </c>
      <c r="CQ48" s="397">
        <f t="shared" si="74"/>
        <v>0</v>
      </c>
      <c r="CR48" s="397">
        <f t="shared" si="75"/>
        <v>0</v>
      </c>
      <c r="CS48" s="397">
        <f t="shared" si="76"/>
        <v>0</v>
      </c>
      <c r="CT48" s="398" t="e">
        <f t="shared" si="60"/>
        <v>#REF!</v>
      </c>
      <c r="CV48" s="391">
        <v>40379</v>
      </c>
      <c r="CW48" s="399">
        <f>+CW$3-SUM(AU$4:AU48)-0.02</f>
        <v>-1.9073486328541334E-8</v>
      </c>
      <c r="CX48" s="399">
        <f>+CX$3-SUM(AV$4:AV48)</f>
        <v>0</v>
      </c>
      <c r="CY48" s="399">
        <f>+CY$3-SUM(AW$4:AW48)</f>
        <v>0</v>
      </c>
      <c r="CZ48" s="399">
        <f>+CZ$3-SUM(AX$4:AX48)</f>
        <v>60749464.769999981</v>
      </c>
      <c r="DA48" s="399">
        <f>+DA$3-SUM(AY$4:AY48)</f>
        <v>1139656560.24</v>
      </c>
      <c r="DB48" s="399">
        <f>+DB$3-SUM(AZ$4:AZ48)</f>
        <v>547472191.47000003</v>
      </c>
      <c r="DC48" s="399" t="e">
        <f>+DC$3-SUM(BA$4:BA48)</f>
        <v>#REF!</v>
      </c>
      <c r="DD48" s="399">
        <f>+DD$3-SUM(BB$4:BB48)</f>
        <v>0</v>
      </c>
      <c r="DE48" s="399">
        <f>+DE$3-SUM(BC$4:BC48)</f>
        <v>112020391.73999999</v>
      </c>
      <c r="DF48" s="399">
        <f>+DF$3-SUM(BD$4:BD48)</f>
        <v>23000000</v>
      </c>
      <c r="DG48" s="399">
        <f>+DG$3-SUM(BE$4:BE48)</f>
        <v>0</v>
      </c>
      <c r="DH48" s="399">
        <f>+DH$3-SUM(BF$4:BF48)</f>
        <v>61041051.780000001</v>
      </c>
      <c r="DI48" s="399">
        <f>+DI$3-SUM(BG$4:BG48)</f>
        <v>56000000</v>
      </c>
      <c r="DJ48" s="399">
        <f>+DJ$3-SUM(BH$4:BH48)</f>
        <v>36902314.299999997</v>
      </c>
      <c r="DK48" s="399">
        <f>+DK$3-SUM(BI$4:BI48)</f>
        <v>141534746.44</v>
      </c>
      <c r="DL48" s="399">
        <f>+DL$3-SUM(BJ$4:BJ48)</f>
        <v>20000000</v>
      </c>
    </row>
    <row r="49" spans="1:116" s="106" customFormat="1">
      <c r="A49" s="391">
        <v>40410</v>
      </c>
      <c r="B49" s="393">
        <v>0</v>
      </c>
      <c r="C49" s="393">
        <v>0</v>
      </c>
      <c r="D49" s="393">
        <v>0</v>
      </c>
      <c r="E49" s="393">
        <v>0</v>
      </c>
      <c r="F49" s="393">
        <v>1053987811.0104743</v>
      </c>
      <c r="G49" s="393">
        <v>547472191.47029364</v>
      </c>
      <c r="H49" s="393">
        <v>500000000</v>
      </c>
      <c r="I49" s="393">
        <v>0</v>
      </c>
      <c r="J49" s="393">
        <v>112020391.73598069</v>
      </c>
      <c r="K49" s="393">
        <v>23000000</v>
      </c>
      <c r="L49" s="393">
        <v>0</v>
      </c>
      <c r="M49" s="393">
        <v>61041051.784276903</v>
      </c>
      <c r="N49" s="393">
        <v>56000000</v>
      </c>
      <c r="O49" s="393">
        <v>36902314.302282669</v>
      </c>
      <c r="P49" s="393">
        <v>141534746.44486183</v>
      </c>
      <c r="Q49" s="393">
        <v>20000000</v>
      </c>
      <c r="R49" s="394">
        <f t="shared" si="2"/>
        <v>2551958506.7481704</v>
      </c>
      <c r="S49" s="588">
        <v>40410</v>
      </c>
      <c r="T49" s="589">
        <f t="shared" si="23"/>
        <v>0</v>
      </c>
      <c r="U49" s="589">
        <f t="shared" si="24"/>
        <v>0</v>
      </c>
      <c r="V49" s="589">
        <f t="shared" si="25"/>
        <v>0</v>
      </c>
      <c r="W49" s="589">
        <f t="shared" si="26"/>
        <v>60749464.759999998</v>
      </c>
      <c r="X49" s="589">
        <f t="shared" si="27"/>
        <v>85668749.230000004</v>
      </c>
      <c r="Y49" s="589">
        <f t="shared" si="28"/>
        <v>0</v>
      </c>
      <c r="Z49" s="589">
        <f t="shared" si="29"/>
        <v>0</v>
      </c>
      <c r="AA49" s="589">
        <f t="shared" si="30"/>
        <v>0</v>
      </c>
      <c r="AB49" s="589">
        <f t="shared" si="31"/>
        <v>0</v>
      </c>
      <c r="AC49" s="589">
        <f t="shared" si="32"/>
        <v>0</v>
      </c>
      <c r="AD49" s="589">
        <f t="shared" si="33"/>
        <v>0</v>
      </c>
      <c r="AE49" s="589">
        <f t="shared" si="34"/>
        <v>0</v>
      </c>
      <c r="AF49" s="589">
        <f t="shared" si="35"/>
        <v>0</v>
      </c>
      <c r="AG49" s="589">
        <f t="shared" si="36"/>
        <v>0</v>
      </c>
      <c r="AH49" s="589">
        <f t="shared" si="37"/>
        <v>0</v>
      </c>
      <c r="AI49" s="589">
        <f t="shared" si="38"/>
        <v>0</v>
      </c>
      <c r="AJ49" s="589">
        <f>+ROUND(SUM(T49:AI49),2)</f>
        <v>146418213.99000001</v>
      </c>
      <c r="AK49" s="396"/>
      <c r="AL49" s="391">
        <v>40410</v>
      </c>
      <c r="AM49" s="397">
        <f t="shared" si="40"/>
        <v>2101460002.480768</v>
      </c>
      <c r="AN49" s="397">
        <f t="shared" si="41"/>
        <v>135020391.73598069</v>
      </c>
      <c r="AO49" s="397">
        <f t="shared" si="42"/>
        <v>117041051.7842769</v>
      </c>
      <c r="AP49" s="397">
        <f t="shared" si="43"/>
        <v>198437060.74714449</v>
      </c>
      <c r="AQ49" s="397">
        <f t="shared" si="4"/>
        <v>2551958506.7481704</v>
      </c>
      <c r="AR49" s="353"/>
      <c r="AT49" s="391">
        <v>40410</v>
      </c>
      <c r="AU49" s="63">
        <v>0</v>
      </c>
      <c r="AV49" s="63">
        <v>0</v>
      </c>
      <c r="AW49" s="63">
        <v>0</v>
      </c>
      <c r="AX49" s="85">
        <v>60749464.759999998</v>
      </c>
      <c r="AY49" s="85">
        <v>85668749.230000004</v>
      </c>
      <c r="AZ49" s="63">
        <v>0</v>
      </c>
      <c r="BA49" s="63">
        <v>0</v>
      </c>
      <c r="BB49" s="63">
        <v>0</v>
      </c>
      <c r="BC49" s="63">
        <v>0</v>
      </c>
      <c r="BD49" s="63">
        <v>0</v>
      </c>
      <c r="BE49" s="63">
        <v>0</v>
      </c>
      <c r="BF49" s="63">
        <v>0</v>
      </c>
      <c r="BG49" s="63">
        <v>0</v>
      </c>
      <c r="BH49" s="63">
        <v>0</v>
      </c>
      <c r="BI49" s="63">
        <v>0</v>
      </c>
      <c r="BJ49" s="63">
        <v>0</v>
      </c>
      <c r="BL49" s="391">
        <v>40410</v>
      </c>
      <c r="BM49" s="397">
        <f t="shared" si="5"/>
        <v>0</v>
      </c>
      <c r="BN49" s="397">
        <f t="shared" si="6"/>
        <v>0</v>
      </c>
      <c r="BO49" s="397">
        <f t="shared" si="7"/>
        <v>0</v>
      </c>
      <c r="BP49" s="397">
        <f t="shared" si="8"/>
        <v>0</v>
      </c>
      <c r="BQ49" s="397">
        <f t="shared" si="9"/>
        <v>0</v>
      </c>
      <c r="BR49" s="397">
        <f t="shared" si="10"/>
        <v>0</v>
      </c>
      <c r="BS49" s="397">
        <f t="shared" si="11"/>
        <v>0</v>
      </c>
      <c r="BT49" s="397">
        <f t="shared" si="12"/>
        <v>0</v>
      </c>
      <c r="BU49" s="397">
        <f t="shared" si="13"/>
        <v>0</v>
      </c>
      <c r="BV49" s="397">
        <f t="shared" si="14"/>
        <v>0</v>
      </c>
      <c r="BW49" s="397">
        <f t="shared" si="15"/>
        <v>0</v>
      </c>
      <c r="BX49" s="397">
        <f t="shared" si="16"/>
        <v>0</v>
      </c>
      <c r="BY49" s="397">
        <f t="shared" si="17"/>
        <v>0</v>
      </c>
      <c r="BZ49" s="397">
        <f t="shared" si="18"/>
        <v>0</v>
      </c>
      <c r="CA49" s="397">
        <f t="shared" si="19"/>
        <v>0</v>
      </c>
      <c r="CB49" s="397">
        <f t="shared" si="20"/>
        <v>0</v>
      </c>
      <c r="CC49" s="391">
        <v>40410</v>
      </c>
      <c r="CD49" s="397">
        <f t="shared" si="61"/>
        <v>0</v>
      </c>
      <c r="CE49" s="397">
        <f t="shared" si="62"/>
        <v>0</v>
      </c>
      <c r="CF49" s="397">
        <f t="shared" si="63"/>
        <v>0</v>
      </c>
      <c r="CG49" s="397">
        <f t="shared" si="64"/>
        <v>0</v>
      </c>
      <c r="CH49" s="397">
        <f t="shared" si="65"/>
        <v>0</v>
      </c>
      <c r="CI49" s="397">
        <f t="shared" si="66"/>
        <v>0</v>
      </c>
      <c r="CJ49" s="397" t="e">
        <f t="shared" si="67"/>
        <v>#REF!</v>
      </c>
      <c r="CK49" s="397">
        <f t="shared" si="68"/>
        <v>0</v>
      </c>
      <c r="CL49" s="397">
        <f t="shared" si="69"/>
        <v>0</v>
      </c>
      <c r="CM49" s="397">
        <f t="shared" si="70"/>
        <v>0</v>
      </c>
      <c r="CN49" s="397">
        <f t="shared" si="71"/>
        <v>0</v>
      </c>
      <c r="CO49" s="397">
        <f t="shared" si="72"/>
        <v>0</v>
      </c>
      <c r="CP49" s="397">
        <f t="shared" si="73"/>
        <v>0</v>
      </c>
      <c r="CQ49" s="397">
        <f t="shared" si="74"/>
        <v>0</v>
      </c>
      <c r="CR49" s="397">
        <f t="shared" si="75"/>
        <v>0</v>
      </c>
      <c r="CS49" s="397">
        <f t="shared" si="76"/>
        <v>0</v>
      </c>
      <c r="CT49" s="398" t="e">
        <f t="shared" si="60"/>
        <v>#REF!</v>
      </c>
      <c r="CV49" s="391">
        <v>40410</v>
      </c>
      <c r="CW49" s="399">
        <f>+CW$3-SUM(AU$4:AU49)-0.02</f>
        <v>-1.9073486328541334E-8</v>
      </c>
      <c r="CX49" s="399">
        <f>+CX$3-SUM(AV$4:AV49)</f>
        <v>0</v>
      </c>
      <c r="CY49" s="399">
        <f>+CY$3-SUM(AW$4:AW49)</f>
        <v>0</v>
      </c>
      <c r="CZ49" s="399">
        <f>+CZ$3-SUM(AX$4:AX49)</f>
        <v>9.9999904632568359E-3</v>
      </c>
      <c r="DA49" s="399">
        <f>+DA$3-SUM(AY$4:AY49)</f>
        <v>1053987811.01</v>
      </c>
      <c r="DB49" s="399">
        <f>+DB$3-SUM(AZ$4:AZ49)</f>
        <v>547472191.47000003</v>
      </c>
      <c r="DC49" s="399" t="e">
        <f>+DC$3-SUM(BA$4:BA49)</f>
        <v>#REF!</v>
      </c>
      <c r="DD49" s="399">
        <f>+DD$3-SUM(BB$4:BB49)</f>
        <v>0</v>
      </c>
      <c r="DE49" s="399">
        <f>+DE$3-SUM(BC$4:BC49)</f>
        <v>112020391.73999999</v>
      </c>
      <c r="DF49" s="399">
        <f>+DF$3-SUM(BD$4:BD49)</f>
        <v>23000000</v>
      </c>
      <c r="DG49" s="399">
        <f>+DG$3-SUM(BE$4:BE49)</f>
        <v>0</v>
      </c>
      <c r="DH49" s="399">
        <f>+DH$3-SUM(BF$4:BF49)</f>
        <v>61041051.780000001</v>
      </c>
      <c r="DI49" s="399">
        <f>+DI$3-SUM(BG$4:BG49)</f>
        <v>56000000</v>
      </c>
      <c r="DJ49" s="399">
        <f>+DJ$3-SUM(BH$4:BH49)</f>
        <v>36902314.299999997</v>
      </c>
      <c r="DK49" s="399">
        <f>+DK$3-SUM(BI$4:BI49)</f>
        <v>141534746.44</v>
      </c>
      <c r="DL49" s="399">
        <f>+DL$3-SUM(BJ$4:BJ49)</f>
        <v>20000000</v>
      </c>
    </row>
    <row r="50" spans="1:116" s="106" customFormat="1">
      <c r="A50" s="391">
        <v>40441</v>
      </c>
      <c r="B50" s="393">
        <v>0</v>
      </c>
      <c r="C50" s="393">
        <v>0</v>
      </c>
      <c r="D50" s="393">
        <v>0</v>
      </c>
      <c r="E50" s="393">
        <v>0</v>
      </c>
      <c r="F50" s="393">
        <v>1053987811.0104743</v>
      </c>
      <c r="G50" s="393">
        <v>547472191.47029364</v>
      </c>
      <c r="H50" s="393">
        <v>500000000</v>
      </c>
      <c r="I50" s="393">
        <v>0</v>
      </c>
      <c r="J50" s="393">
        <v>112020391.73598069</v>
      </c>
      <c r="K50" s="393">
        <v>23000000</v>
      </c>
      <c r="L50" s="393">
        <v>0</v>
      </c>
      <c r="M50" s="393">
        <v>61041051.784276903</v>
      </c>
      <c r="N50" s="393">
        <v>56000000</v>
      </c>
      <c r="O50" s="393">
        <v>36902314.302282669</v>
      </c>
      <c r="P50" s="393">
        <v>141534746.44486183</v>
      </c>
      <c r="Q50" s="393">
        <v>20000000</v>
      </c>
      <c r="R50" s="394">
        <f t="shared" si="2"/>
        <v>2551958506.7481704</v>
      </c>
      <c r="S50" s="391">
        <v>40441</v>
      </c>
      <c r="T50" s="395">
        <f t="shared" si="23"/>
        <v>0</v>
      </c>
      <c r="U50" s="395">
        <f t="shared" si="24"/>
        <v>0</v>
      </c>
      <c r="V50" s="395">
        <f t="shared" si="25"/>
        <v>0</v>
      </c>
      <c r="W50" s="395">
        <f t="shared" si="26"/>
        <v>0</v>
      </c>
      <c r="X50" s="395">
        <f t="shared" si="27"/>
        <v>0</v>
      </c>
      <c r="Y50" s="395">
        <f t="shared" si="28"/>
        <v>0</v>
      </c>
      <c r="Z50" s="395">
        <f t="shared" si="29"/>
        <v>0</v>
      </c>
      <c r="AA50" s="395">
        <f t="shared" si="30"/>
        <v>0</v>
      </c>
      <c r="AB50" s="395">
        <f t="shared" si="31"/>
        <v>0</v>
      </c>
      <c r="AC50" s="395">
        <f t="shared" si="32"/>
        <v>0</v>
      </c>
      <c r="AD50" s="395">
        <f t="shared" si="33"/>
        <v>0</v>
      </c>
      <c r="AE50" s="395">
        <f t="shared" si="34"/>
        <v>0</v>
      </c>
      <c r="AF50" s="395">
        <f t="shared" si="35"/>
        <v>0</v>
      </c>
      <c r="AG50" s="395">
        <f t="shared" si="36"/>
        <v>0</v>
      </c>
      <c r="AH50" s="395">
        <f t="shared" si="37"/>
        <v>0</v>
      </c>
      <c r="AI50" s="395">
        <f t="shared" si="38"/>
        <v>0</v>
      </c>
      <c r="AJ50" s="395">
        <f t="shared" si="39"/>
        <v>0</v>
      </c>
      <c r="AK50" s="396"/>
      <c r="AL50" s="391">
        <v>40441</v>
      </c>
      <c r="AM50" s="397">
        <f t="shared" si="40"/>
        <v>2101460002.480768</v>
      </c>
      <c r="AN50" s="397">
        <f t="shared" si="41"/>
        <v>135020391.73598069</v>
      </c>
      <c r="AO50" s="397">
        <f t="shared" si="42"/>
        <v>117041051.7842769</v>
      </c>
      <c r="AP50" s="397">
        <f t="shared" si="43"/>
        <v>198437060.74714449</v>
      </c>
      <c r="AQ50" s="397">
        <f t="shared" si="4"/>
        <v>2551958506.7481704</v>
      </c>
      <c r="AR50" s="353"/>
      <c r="AT50" s="391">
        <v>40441</v>
      </c>
      <c r="AU50" s="63">
        <v>0</v>
      </c>
      <c r="AV50" s="63">
        <v>0</v>
      </c>
      <c r="AW50" s="63">
        <v>0</v>
      </c>
      <c r="AX50" s="63">
        <v>0</v>
      </c>
      <c r="AY50" s="63">
        <v>0</v>
      </c>
      <c r="AZ50" s="63">
        <v>0</v>
      </c>
      <c r="BA50" s="63">
        <v>0</v>
      </c>
      <c r="BB50" s="63">
        <v>0</v>
      </c>
      <c r="BC50" s="63">
        <v>0</v>
      </c>
      <c r="BD50" s="63">
        <v>0</v>
      </c>
      <c r="BE50" s="63">
        <v>0</v>
      </c>
      <c r="BF50" s="63">
        <v>0</v>
      </c>
      <c r="BG50" s="63">
        <v>0</v>
      </c>
      <c r="BH50" s="63">
        <v>0</v>
      </c>
      <c r="BI50" s="63">
        <v>0</v>
      </c>
      <c r="BJ50" s="63">
        <v>0</v>
      </c>
      <c r="BL50" s="391">
        <v>40441</v>
      </c>
      <c r="BM50" s="397">
        <f t="shared" si="5"/>
        <v>0</v>
      </c>
      <c r="BN50" s="397">
        <f t="shared" si="6"/>
        <v>0</v>
      </c>
      <c r="BO50" s="397">
        <f t="shared" si="7"/>
        <v>0</v>
      </c>
      <c r="BP50" s="397">
        <f t="shared" si="8"/>
        <v>0</v>
      </c>
      <c r="BQ50" s="397">
        <f t="shared" si="9"/>
        <v>0</v>
      </c>
      <c r="BR50" s="397">
        <f t="shared" si="10"/>
        <v>0</v>
      </c>
      <c r="BS50" s="397">
        <f t="shared" si="11"/>
        <v>0</v>
      </c>
      <c r="BT50" s="397">
        <f t="shared" si="12"/>
        <v>0</v>
      </c>
      <c r="BU50" s="397">
        <f t="shared" si="13"/>
        <v>0</v>
      </c>
      <c r="BV50" s="397">
        <f t="shared" si="14"/>
        <v>0</v>
      </c>
      <c r="BW50" s="397">
        <f t="shared" si="15"/>
        <v>0</v>
      </c>
      <c r="BX50" s="397">
        <f t="shared" si="16"/>
        <v>0</v>
      </c>
      <c r="BY50" s="397">
        <f t="shared" si="17"/>
        <v>0</v>
      </c>
      <c r="BZ50" s="397">
        <f t="shared" si="18"/>
        <v>0</v>
      </c>
      <c r="CA50" s="397">
        <f t="shared" si="19"/>
        <v>0</v>
      </c>
      <c r="CB50" s="397">
        <f t="shared" si="20"/>
        <v>0</v>
      </c>
      <c r="CC50" s="391">
        <v>40441</v>
      </c>
      <c r="CD50" s="397">
        <f t="shared" si="61"/>
        <v>0</v>
      </c>
      <c r="CE50" s="397">
        <f t="shared" si="62"/>
        <v>0</v>
      </c>
      <c r="CF50" s="397">
        <f t="shared" si="63"/>
        <v>0</v>
      </c>
      <c r="CG50" s="397">
        <f t="shared" si="64"/>
        <v>0</v>
      </c>
      <c r="CH50" s="397">
        <f t="shared" si="65"/>
        <v>0</v>
      </c>
      <c r="CI50" s="397">
        <f t="shared" si="66"/>
        <v>0</v>
      </c>
      <c r="CJ50" s="397" t="e">
        <f t="shared" si="67"/>
        <v>#REF!</v>
      </c>
      <c r="CK50" s="397">
        <f t="shared" si="68"/>
        <v>0</v>
      </c>
      <c r="CL50" s="397">
        <f t="shared" si="69"/>
        <v>0</v>
      </c>
      <c r="CM50" s="397">
        <f t="shared" si="70"/>
        <v>0</v>
      </c>
      <c r="CN50" s="397">
        <f t="shared" si="71"/>
        <v>0</v>
      </c>
      <c r="CO50" s="397">
        <f t="shared" si="72"/>
        <v>0</v>
      </c>
      <c r="CP50" s="397">
        <f t="shared" si="73"/>
        <v>0</v>
      </c>
      <c r="CQ50" s="397">
        <f t="shared" si="74"/>
        <v>0</v>
      </c>
      <c r="CR50" s="397">
        <f t="shared" si="75"/>
        <v>0</v>
      </c>
      <c r="CS50" s="397">
        <f t="shared" si="76"/>
        <v>0</v>
      </c>
      <c r="CT50" s="398" t="e">
        <f t="shared" si="60"/>
        <v>#REF!</v>
      </c>
      <c r="CV50" s="391">
        <v>40441</v>
      </c>
      <c r="CW50" s="399">
        <f>+CW$3-SUM(AU$4:AU50)-0.02</f>
        <v>-1.9073486328541334E-8</v>
      </c>
      <c r="CX50" s="399">
        <f>+CX$3-SUM(AV$4:AV50)</f>
        <v>0</v>
      </c>
      <c r="CY50" s="399">
        <f>+CY$3-SUM(AW$4:AW50)</f>
        <v>0</v>
      </c>
      <c r="CZ50" s="399">
        <f>+CZ$3-SUM(AX$4:AX50)</f>
        <v>9.9999904632568359E-3</v>
      </c>
      <c r="DA50" s="399">
        <f>+DA$3-SUM(AY$4:AY50)</f>
        <v>1053987811.01</v>
      </c>
      <c r="DB50" s="399">
        <f>+DB$3-SUM(AZ$4:AZ50)</f>
        <v>547472191.47000003</v>
      </c>
      <c r="DC50" s="399" t="e">
        <f>+DC$3-SUM(BA$4:BA50)</f>
        <v>#REF!</v>
      </c>
      <c r="DD50" s="399">
        <f>+DD$3-SUM(BB$4:BB50)</f>
        <v>0</v>
      </c>
      <c r="DE50" s="399">
        <f>+DE$3-SUM(BC$4:BC50)</f>
        <v>112020391.73999999</v>
      </c>
      <c r="DF50" s="399">
        <f>+DF$3-SUM(BD$4:BD50)</f>
        <v>23000000</v>
      </c>
      <c r="DG50" s="399">
        <f>+DG$3-SUM(BE$4:BE50)</f>
        <v>0</v>
      </c>
      <c r="DH50" s="399">
        <f>+DH$3-SUM(BF$4:BF50)</f>
        <v>61041051.780000001</v>
      </c>
      <c r="DI50" s="399">
        <f>+DI$3-SUM(BG$4:BG50)</f>
        <v>56000000</v>
      </c>
      <c r="DJ50" s="399">
        <f>+DJ$3-SUM(BH$4:BH50)</f>
        <v>36902314.299999997</v>
      </c>
      <c r="DK50" s="399">
        <f>+DK$3-SUM(BI$4:BI50)</f>
        <v>141534746.44</v>
      </c>
      <c r="DL50" s="399">
        <f>+DL$3-SUM(BJ$4:BJ50)</f>
        <v>20000000</v>
      </c>
    </row>
    <row r="51" spans="1:116" s="106" customFormat="1">
      <c r="A51" s="391">
        <v>40471</v>
      </c>
      <c r="B51" s="393">
        <v>0</v>
      </c>
      <c r="C51" s="393">
        <v>0</v>
      </c>
      <c r="D51" s="393">
        <v>0</v>
      </c>
      <c r="E51" s="393">
        <v>0</v>
      </c>
      <c r="F51" s="393">
        <v>1053987811.0104743</v>
      </c>
      <c r="G51" s="393">
        <v>547472191.47029364</v>
      </c>
      <c r="H51" s="393">
        <v>500000000</v>
      </c>
      <c r="I51" s="393">
        <v>0</v>
      </c>
      <c r="J51" s="393">
        <v>112020391.73598069</v>
      </c>
      <c r="K51" s="393">
        <v>23000000</v>
      </c>
      <c r="L51" s="393">
        <v>0</v>
      </c>
      <c r="M51" s="393">
        <v>61041051.784276903</v>
      </c>
      <c r="N51" s="393">
        <v>56000000</v>
      </c>
      <c r="O51" s="393">
        <v>36902314.302282669</v>
      </c>
      <c r="P51" s="393">
        <v>141534746.44486183</v>
      </c>
      <c r="Q51" s="393">
        <v>20000000</v>
      </c>
      <c r="R51" s="394">
        <f t="shared" si="2"/>
        <v>2551958506.7481704</v>
      </c>
      <c r="S51" s="391">
        <v>40471</v>
      </c>
      <c r="T51" s="395">
        <f t="shared" si="23"/>
        <v>0</v>
      </c>
      <c r="U51" s="395">
        <f t="shared" si="24"/>
        <v>0</v>
      </c>
      <c r="V51" s="395">
        <f t="shared" si="25"/>
        <v>0</v>
      </c>
      <c r="W51" s="395">
        <f t="shared" si="26"/>
        <v>0</v>
      </c>
      <c r="X51" s="395">
        <f t="shared" si="27"/>
        <v>0</v>
      </c>
      <c r="Y51" s="395">
        <f t="shared" si="28"/>
        <v>0</v>
      </c>
      <c r="Z51" s="395">
        <f t="shared" si="29"/>
        <v>0</v>
      </c>
      <c r="AA51" s="395">
        <f t="shared" si="30"/>
        <v>0</v>
      </c>
      <c r="AB51" s="395">
        <f t="shared" si="31"/>
        <v>0</v>
      </c>
      <c r="AC51" s="395">
        <f t="shared" si="32"/>
        <v>0</v>
      </c>
      <c r="AD51" s="395">
        <f t="shared" si="33"/>
        <v>0</v>
      </c>
      <c r="AE51" s="395">
        <f t="shared" si="34"/>
        <v>0</v>
      </c>
      <c r="AF51" s="395">
        <f t="shared" si="35"/>
        <v>0</v>
      </c>
      <c r="AG51" s="395">
        <f t="shared" si="36"/>
        <v>0</v>
      </c>
      <c r="AH51" s="395">
        <f t="shared" si="37"/>
        <v>0</v>
      </c>
      <c r="AI51" s="395">
        <f t="shared" si="38"/>
        <v>0</v>
      </c>
      <c r="AJ51" s="395">
        <f t="shared" si="39"/>
        <v>0</v>
      </c>
      <c r="AK51" s="396"/>
      <c r="AL51" s="391">
        <v>40471</v>
      </c>
      <c r="AM51" s="397">
        <f t="shared" si="40"/>
        <v>2101460002.480768</v>
      </c>
      <c r="AN51" s="397">
        <f t="shared" si="41"/>
        <v>135020391.73598069</v>
      </c>
      <c r="AO51" s="397">
        <f t="shared" si="42"/>
        <v>117041051.7842769</v>
      </c>
      <c r="AP51" s="397">
        <f t="shared" si="43"/>
        <v>198437060.74714449</v>
      </c>
      <c r="AQ51" s="397">
        <f t="shared" si="4"/>
        <v>2551958506.7481704</v>
      </c>
      <c r="AR51" s="353"/>
      <c r="AT51" s="391">
        <v>40471</v>
      </c>
      <c r="AU51" s="63">
        <v>0</v>
      </c>
      <c r="AV51" s="63">
        <v>0</v>
      </c>
      <c r="AW51" s="63">
        <v>0</v>
      </c>
      <c r="AX51" s="63">
        <v>0</v>
      </c>
      <c r="AY51" s="63">
        <v>0</v>
      </c>
      <c r="AZ51" s="63">
        <v>0</v>
      </c>
      <c r="BA51" s="63">
        <v>0</v>
      </c>
      <c r="BB51" s="63">
        <v>0</v>
      </c>
      <c r="BC51" s="63">
        <v>0</v>
      </c>
      <c r="BD51" s="63">
        <v>0</v>
      </c>
      <c r="BE51" s="63">
        <v>0</v>
      </c>
      <c r="BF51" s="63">
        <v>0</v>
      </c>
      <c r="BG51" s="63">
        <v>0</v>
      </c>
      <c r="BH51" s="63">
        <v>0</v>
      </c>
      <c r="BI51" s="63">
        <v>0</v>
      </c>
      <c r="BJ51" s="63">
        <v>0</v>
      </c>
      <c r="BL51" s="391">
        <v>40471</v>
      </c>
      <c r="BM51" s="397">
        <f t="shared" si="5"/>
        <v>0</v>
      </c>
      <c r="BN51" s="397">
        <f t="shared" si="6"/>
        <v>0</v>
      </c>
      <c r="BO51" s="397">
        <f t="shared" si="7"/>
        <v>0</v>
      </c>
      <c r="BP51" s="397">
        <f t="shared" si="8"/>
        <v>0</v>
      </c>
      <c r="BQ51" s="397">
        <f t="shared" si="9"/>
        <v>0</v>
      </c>
      <c r="BR51" s="397">
        <f t="shared" si="10"/>
        <v>0</v>
      </c>
      <c r="BS51" s="397">
        <f t="shared" si="11"/>
        <v>0</v>
      </c>
      <c r="BT51" s="397">
        <f t="shared" si="12"/>
        <v>0</v>
      </c>
      <c r="BU51" s="397">
        <f t="shared" si="13"/>
        <v>0</v>
      </c>
      <c r="BV51" s="397">
        <f t="shared" si="14"/>
        <v>0</v>
      </c>
      <c r="BW51" s="397">
        <f t="shared" si="15"/>
        <v>0</v>
      </c>
      <c r="BX51" s="397">
        <f t="shared" si="16"/>
        <v>0</v>
      </c>
      <c r="BY51" s="397">
        <f t="shared" si="17"/>
        <v>0</v>
      </c>
      <c r="BZ51" s="397">
        <f t="shared" si="18"/>
        <v>0</v>
      </c>
      <c r="CA51" s="397">
        <f t="shared" si="19"/>
        <v>0</v>
      </c>
      <c r="CB51" s="397">
        <f t="shared" si="20"/>
        <v>0</v>
      </c>
      <c r="CC51" s="391">
        <v>40471</v>
      </c>
      <c r="CD51" s="397">
        <f t="shared" si="61"/>
        <v>0</v>
      </c>
      <c r="CE51" s="397">
        <f t="shared" si="62"/>
        <v>0</v>
      </c>
      <c r="CF51" s="397">
        <f t="shared" si="63"/>
        <v>0</v>
      </c>
      <c r="CG51" s="397">
        <f t="shared" si="64"/>
        <v>0</v>
      </c>
      <c r="CH51" s="397">
        <f t="shared" si="65"/>
        <v>0</v>
      </c>
      <c r="CI51" s="397">
        <f t="shared" si="66"/>
        <v>0</v>
      </c>
      <c r="CJ51" s="397" t="e">
        <f t="shared" si="67"/>
        <v>#REF!</v>
      </c>
      <c r="CK51" s="397">
        <f t="shared" si="68"/>
        <v>0</v>
      </c>
      <c r="CL51" s="397">
        <f t="shared" si="69"/>
        <v>0</v>
      </c>
      <c r="CM51" s="397">
        <f t="shared" si="70"/>
        <v>0</v>
      </c>
      <c r="CN51" s="397">
        <f t="shared" si="71"/>
        <v>0</v>
      </c>
      <c r="CO51" s="397">
        <f t="shared" si="72"/>
        <v>0</v>
      </c>
      <c r="CP51" s="397">
        <f t="shared" si="73"/>
        <v>0</v>
      </c>
      <c r="CQ51" s="397">
        <f t="shared" si="74"/>
        <v>0</v>
      </c>
      <c r="CR51" s="397">
        <f t="shared" si="75"/>
        <v>0</v>
      </c>
      <c r="CS51" s="397">
        <f t="shared" si="76"/>
        <v>0</v>
      </c>
      <c r="CT51" s="398" t="e">
        <f t="shared" si="60"/>
        <v>#REF!</v>
      </c>
      <c r="CV51" s="391">
        <v>40471</v>
      </c>
      <c r="CW51" s="399">
        <f>+CW$3-SUM(AU$4:AU51)-0.02</f>
        <v>-1.9073486328541334E-8</v>
      </c>
      <c r="CX51" s="399">
        <f>+CX$3-SUM(AV$4:AV51)</f>
        <v>0</v>
      </c>
      <c r="CY51" s="399">
        <f>+CY$3-SUM(AW$4:AW51)</f>
        <v>0</v>
      </c>
      <c r="CZ51" s="399">
        <f>+CZ$3-SUM(AX$4:AX51)</f>
        <v>9.9999904632568359E-3</v>
      </c>
      <c r="DA51" s="399">
        <f>+DA$3-SUM(AY$4:AY51)</f>
        <v>1053987811.01</v>
      </c>
      <c r="DB51" s="399">
        <f>+DB$3-SUM(AZ$4:AZ51)</f>
        <v>547472191.47000003</v>
      </c>
      <c r="DC51" s="399" t="e">
        <f>+DC$3-SUM(BA$4:BA51)</f>
        <v>#REF!</v>
      </c>
      <c r="DD51" s="399">
        <f>+DD$3-SUM(BB$4:BB51)</f>
        <v>0</v>
      </c>
      <c r="DE51" s="399">
        <f>+DE$3-SUM(BC$4:BC51)</f>
        <v>112020391.73999999</v>
      </c>
      <c r="DF51" s="399">
        <f>+DF$3-SUM(BD$4:BD51)</f>
        <v>23000000</v>
      </c>
      <c r="DG51" s="399">
        <f>+DG$3-SUM(BE$4:BE51)</f>
        <v>0</v>
      </c>
      <c r="DH51" s="399">
        <f>+DH$3-SUM(BF$4:BF51)</f>
        <v>61041051.780000001</v>
      </c>
      <c r="DI51" s="399">
        <f>+DI$3-SUM(BG$4:BG51)</f>
        <v>56000000</v>
      </c>
      <c r="DJ51" s="399">
        <f>+DJ$3-SUM(BH$4:BH51)</f>
        <v>36902314.299999997</v>
      </c>
      <c r="DK51" s="399">
        <f>+DK$3-SUM(BI$4:BI51)</f>
        <v>141534746.44</v>
      </c>
      <c r="DL51" s="399">
        <f>+DL$3-SUM(BJ$4:BJ51)</f>
        <v>20000000</v>
      </c>
    </row>
    <row r="52" spans="1:116" s="106" customFormat="1">
      <c r="A52" s="391">
        <v>40504</v>
      </c>
      <c r="B52" s="393">
        <v>0</v>
      </c>
      <c r="C52" s="393">
        <v>0</v>
      </c>
      <c r="D52" s="393">
        <v>0</v>
      </c>
      <c r="E52" s="393">
        <v>0</v>
      </c>
      <c r="F52" s="393">
        <v>915607239.41038823</v>
      </c>
      <c r="G52" s="393">
        <v>547472191.47029364</v>
      </c>
      <c r="H52" s="393">
        <v>500000000</v>
      </c>
      <c r="I52" s="393">
        <v>0</v>
      </c>
      <c r="J52" s="393">
        <v>112020391.73598069</v>
      </c>
      <c r="K52" s="393">
        <v>23000000</v>
      </c>
      <c r="L52" s="393">
        <v>0</v>
      </c>
      <c r="M52" s="393">
        <v>61041051.784276903</v>
      </c>
      <c r="N52" s="393">
        <v>56000000</v>
      </c>
      <c r="O52" s="393">
        <v>36902314.302282669</v>
      </c>
      <c r="P52" s="393">
        <v>141534746.44486183</v>
      </c>
      <c r="Q52" s="393">
        <v>20000000</v>
      </c>
      <c r="R52" s="394">
        <f t="shared" si="2"/>
        <v>2413577935.1480842</v>
      </c>
      <c r="S52" s="588">
        <v>40504</v>
      </c>
      <c r="T52" s="589">
        <f t="shared" si="23"/>
        <v>0</v>
      </c>
      <c r="U52" s="589">
        <f t="shared" si="24"/>
        <v>0</v>
      </c>
      <c r="V52" s="589">
        <f t="shared" si="25"/>
        <v>0</v>
      </c>
      <c r="W52" s="589">
        <f t="shared" si="26"/>
        <v>0</v>
      </c>
      <c r="X52" s="589">
        <f t="shared" si="27"/>
        <v>138380571.59999999</v>
      </c>
      <c r="Y52" s="589">
        <f t="shared" si="28"/>
        <v>0</v>
      </c>
      <c r="Z52" s="589">
        <f t="shared" si="29"/>
        <v>0</v>
      </c>
      <c r="AA52" s="589">
        <f t="shared" si="30"/>
        <v>0</v>
      </c>
      <c r="AB52" s="589">
        <f t="shared" si="31"/>
        <v>0</v>
      </c>
      <c r="AC52" s="589">
        <f t="shared" si="32"/>
        <v>0</v>
      </c>
      <c r="AD52" s="589">
        <f t="shared" si="33"/>
        <v>0</v>
      </c>
      <c r="AE52" s="589">
        <f t="shared" si="34"/>
        <v>0</v>
      </c>
      <c r="AF52" s="589">
        <f t="shared" si="35"/>
        <v>0</v>
      </c>
      <c r="AG52" s="589">
        <f t="shared" si="36"/>
        <v>0</v>
      </c>
      <c r="AH52" s="589">
        <f t="shared" si="37"/>
        <v>0</v>
      </c>
      <c r="AI52" s="589">
        <f t="shared" si="38"/>
        <v>0</v>
      </c>
      <c r="AJ52" s="589">
        <f t="shared" si="39"/>
        <v>138380571.59999999</v>
      </c>
      <c r="AK52" s="396"/>
      <c r="AL52" s="391">
        <v>40504</v>
      </c>
      <c r="AM52" s="397">
        <f t="shared" si="40"/>
        <v>1963079430.880682</v>
      </c>
      <c r="AN52" s="397">
        <f t="shared" si="41"/>
        <v>135020391.73598069</v>
      </c>
      <c r="AO52" s="397">
        <f t="shared" si="42"/>
        <v>117041051.7842769</v>
      </c>
      <c r="AP52" s="397">
        <f t="shared" si="43"/>
        <v>198437060.74714449</v>
      </c>
      <c r="AQ52" s="397">
        <f t="shared" si="4"/>
        <v>2413577935.1480842</v>
      </c>
      <c r="AR52" s="353"/>
      <c r="AT52" s="391">
        <v>40504</v>
      </c>
      <c r="AU52" s="63">
        <v>0</v>
      </c>
      <c r="AV52" s="63">
        <v>0</v>
      </c>
      <c r="AW52" s="63">
        <v>0</v>
      </c>
      <c r="AX52" s="63">
        <v>0</v>
      </c>
      <c r="AY52" s="85">
        <v>138380571.59999999</v>
      </c>
      <c r="AZ52" s="63">
        <v>0</v>
      </c>
      <c r="BA52" s="63">
        <v>0</v>
      </c>
      <c r="BB52" s="63">
        <v>0</v>
      </c>
      <c r="BC52" s="63">
        <v>0</v>
      </c>
      <c r="BD52" s="63">
        <v>0</v>
      </c>
      <c r="BE52" s="63">
        <v>0</v>
      </c>
      <c r="BF52" s="63">
        <v>0</v>
      </c>
      <c r="BG52" s="63">
        <v>0</v>
      </c>
      <c r="BH52" s="63">
        <v>0</v>
      </c>
      <c r="BI52" s="63">
        <v>0</v>
      </c>
      <c r="BJ52" s="63">
        <v>0</v>
      </c>
      <c r="BL52" s="391">
        <v>40504</v>
      </c>
      <c r="BM52" s="397">
        <f t="shared" si="5"/>
        <v>0</v>
      </c>
      <c r="BN52" s="397">
        <f t="shared" si="6"/>
        <v>0</v>
      </c>
      <c r="BO52" s="397">
        <f t="shared" si="7"/>
        <v>0</v>
      </c>
      <c r="BP52" s="397">
        <f t="shared" si="8"/>
        <v>0</v>
      </c>
      <c r="BQ52" s="397">
        <f t="shared" si="9"/>
        <v>0</v>
      </c>
      <c r="BR52" s="397">
        <f t="shared" si="10"/>
        <v>0</v>
      </c>
      <c r="BS52" s="397">
        <f t="shared" si="11"/>
        <v>0</v>
      </c>
      <c r="BT52" s="397">
        <f t="shared" si="12"/>
        <v>0</v>
      </c>
      <c r="BU52" s="397">
        <f t="shared" si="13"/>
        <v>0</v>
      </c>
      <c r="BV52" s="397">
        <f t="shared" si="14"/>
        <v>0</v>
      </c>
      <c r="BW52" s="397">
        <f t="shared" si="15"/>
        <v>0</v>
      </c>
      <c r="BX52" s="397">
        <f t="shared" si="16"/>
        <v>0</v>
      </c>
      <c r="BY52" s="397">
        <f t="shared" si="17"/>
        <v>0</v>
      </c>
      <c r="BZ52" s="397">
        <f t="shared" si="18"/>
        <v>0</v>
      </c>
      <c r="CA52" s="397">
        <f t="shared" si="19"/>
        <v>0</v>
      </c>
      <c r="CB52" s="397">
        <f t="shared" si="20"/>
        <v>0</v>
      </c>
      <c r="CC52" s="391">
        <v>40504</v>
      </c>
      <c r="CD52" s="397">
        <f t="shared" si="61"/>
        <v>0</v>
      </c>
      <c r="CE52" s="397">
        <f t="shared" si="62"/>
        <v>0</v>
      </c>
      <c r="CF52" s="397">
        <f t="shared" si="63"/>
        <v>0</v>
      </c>
      <c r="CG52" s="397">
        <f t="shared" si="64"/>
        <v>0</v>
      </c>
      <c r="CH52" s="397">
        <f t="shared" si="65"/>
        <v>0</v>
      </c>
      <c r="CI52" s="397">
        <f t="shared" si="66"/>
        <v>0</v>
      </c>
      <c r="CJ52" s="397" t="e">
        <f t="shared" si="67"/>
        <v>#REF!</v>
      </c>
      <c r="CK52" s="397">
        <f t="shared" si="68"/>
        <v>0</v>
      </c>
      <c r="CL52" s="397">
        <f t="shared" si="69"/>
        <v>0</v>
      </c>
      <c r="CM52" s="397">
        <f t="shared" si="70"/>
        <v>0</v>
      </c>
      <c r="CN52" s="397">
        <f t="shared" si="71"/>
        <v>0</v>
      </c>
      <c r="CO52" s="397">
        <f t="shared" si="72"/>
        <v>0</v>
      </c>
      <c r="CP52" s="397">
        <f t="shared" si="73"/>
        <v>0</v>
      </c>
      <c r="CQ52" s="397">
        <f t="shared" si="74"/>
        <v>0</v>
      </c>
      <c r="CR52" s="397">
        <f t="shared" si="75"/>
        <v>0</v>
      </c>
      <c r="CS52" s="397">
        <f t="shared" si="76"/>
        <v>0</v>
      </c>
      <c r="CT52" s="398" t="e">
        <f t="shared" si="60"/>
        <v>#REF!</v>
      </c>
      <c r="CV52" s="391">
        <v>40504</v>
      </c>
      <c r="CW52" s="399">
        <f>+CW$3-SUM(AU$4:AU52)-0.02</f>
        <v>-1.9073486328541334E-8</v>
      </c>
      <c r="CX52" s="399">
        <f>+CX$3-SUM(AV$4:AV52)</f>
        <v>0</v>
      </c>
      <c r="CY52" s="399">
        <f>+CY$3-SUM(AW$4:AW52)</f>
        <v>0</v>
      </c>
      <c r="CZ52" s="399">
        <f>+CZ$3-SUM(AX$4:AX52)</f>
        <v>9.9999904632568359E-3</v>
      </c>
      <c r="DA52" s="399">
        <f>+DA$3-SUM(AY$4:AY52)</f>
        <v>915607239.41000009</v>
      </c>
      <c r="DB52" s="399">
        <f>+DB$3-SUM(AZ$4:AZ52)</f>
        <v>547472191.47000003</v>
      </c>
      <c r="DC52" s="399" t="e">
        <f>+DC$3-SUM(BA$4:BA52)</f>
        <v>#REF!</v>
      </c>
      <c r="DD52" s="399">
        <f>+DD$3-SUM(BB$4:BB52)</f>
        <v>0</v>
      </c>
      <c r="DE52" s="399">
        <f>+DE$3-SUM(BC$4:BC52)</f>
        <v>112020391.73999999</v>
      </c>
      <c r="DF52" s="399">
        <f>+DF$3-SUM(BD$4:BD52)</f>
        <v>23000000</v>
      </c>
      <c r="DG52" s="399">
        <f>+DG$3-SUM(BE$4:BE52)</f>
        <v>0</v>
      </c>
      <c r="DH52" s="399">
        <f>+DH$3-SUM(BF$4:BF52)</f>
        <v>61041051.780000001</v>
      </c>
      <c r="DI52" s="399">
        <f>+DI$3-SUM(BG$4:BG52)</f>
        <v>56000000</v>
      </c>
      <c r="DJ52" s="399">
        <f>+DJ$3-SUM(BH$4:BH52)</f>
        <v>36902314.299999997</v>
      </c>
      <c r="DK52" s="399">
        <f>+DK$3-SUM(BI$4:BI52)</f>
        <v>141534746.44</v>
      </c>
      <c r="DL52" s="399">
        <f>+DL$3-SUM(BJ$4:BJ52)</f>
        <v>20000000</v>
      </c>
    </row>
    <row r="53" spans="1:116" s="106" customFormat="1">
      <c r="A53" s="391">
        <v>40532</v>
      </c>
      <c r="B53" s="393">
        <v>0</v>
      </c>
      <c r="C53" s="393">
        <v>0</v>
      </c>
      <c r="D53" s="393">
        <v>0</v>
      </c>
      <c r="E53" s="393">
        <v>0</v>
      </c>
      <c r="F53" s="393">
        <v>915607239.41038823</v>
      </c>
      <c r="G53" s="393">
        <v>547472191.47029364</v>
      </c>
      <c r="H53" s="393">
        <v>500000000</v>
      </c>
      <c r="I53" s="393">
        <v>0</v>
      </c>
      <c r="J53" s="393">
        <v>112020391.73598069</v>
      </c>
      <c r="K53" s="393">
        <v>23000000</v>
      </c>
      <c r="L53" s="393">
        <v>0</v>
      </c>
      <c r="M53" s="393">
        <v>61041051.784276903</v>
      </c>
      <c r="N53" s="393">
        <v>56000000</v>
      </c>
      <c r="O53" s="393">
        <v>36902314.302282669</v>
      </c>
      <c r="P53" s="393">
        <v>141534746.44486183</v>
      </c>
      <c r="Q53" s="393">
        <v>20000000</v>
      </c>
      <c r="R53" s="394">
        <f t="shared" si="2"/>
        <v>2413577935.1480842</v>
      </c>
      <c r="S53" s="391">
        <v>40532</v>
      </c>
      <c r="T53" s="395">
        <f t="shared" si="23"/>
        <v>0</v>
      </c>
      <c r="U53" s="395">
        <f t="shared" si="24"/>
        <v>0</v>
      </c>
      <c r="V53" s="395">
        <f t="shared" si="25"/>
        <v>0</v>
      </c>
      <c r="W53" s="395">
        <f t="shared" si="26"/>
        <v>0</v>
      </c>
      <c r="X53" s="395">
        <f t="shared" si="27"/>
        <v>0</v>
      </c>
      <c r="Y53" s="395">
        <f t="shared" si="28"/>
        <v>0</v>
      </c>
      <c r="Z53" s="395">
        <f t="shared" si="29"/>
        <v>0</v>
      </c>
      <c r="AA53" s="395">
        <f t="shared" si="30"/>
        <v>0</v>
      </c>
      <c r="AB53" s="395">
        <f t="shared" si="31"/>
        <v>0</v>
      </c>
      <c r="AC53" s="395">
        <f t="shared" si="32"/>
        <v>0</v>
      </c>
      <c r="AD53" s="395">
        <f t="shared" si="33"/>
        <v>0</v>
      </c>
      <c r="AE53" s="395">
        <f t="shared" si="34"/>
        <v>0</v>
      </c>
      <c r="AF53" s="395">
        <f t="shared" si="35"/>
        <v>0</v>
      </c>
      <c r="AG53" s="395">
        <f t="shared" si="36"/>
        <v>0</v>
      </c>
      <c r="AH53" s="395">
        <f t="shared" si="37"/>
        <v>0</v>
      </c>
      <c r="AI53" s="395">
        <f t="shared" si="38"/>
        <v>0</v>
      </c>
      <c r="AJ53" s="395">
        <f t="shared" si="39"/>
        <v>0</v>
      </c>
      <c r="AK53" s="396"/>
      <c r="AL53" s="391">
        <v>40532</v>
      </c>
      <c r="AM53" s="397">
        <f t="shared" si="40"/>
        <v>1963079430.880682</v>
      </c>
      <c r="AN53" s="397">
        <f t="shared" si="41"/>
        <v>135020391.73598069</v>
      </c>
      <c r="AO53" s="397">
        <f t="shared" si="42"/>
        <v>117041051.7842769</v>
      </c>
      <c r="AP53" s="397">
        <f t="shared" si="43"/>
        <v>198437060.74714449</v>
      </c>
      <c r="AQ53" s="397">
        <f t="shared" si="4"/>
        <v>2413577935.1480842</v>
      </c>
      <c r="AR53" s="353"/>
      <c r="AT53" s="391">
        <v>40532</v>
      </c>
      <c r="AU53" s="63">
        <v>0</v>
      </c>
      <c r="AV53" s="63">
        <v>0</v>
      </c>
      <c r="AW53" s="63">
        <v>0</v>
      </c>
      <c r="AX53" s="63">
        <v>0</v>
      </c>
      <c r="AY53" s="63">
        <v>0</v>
      </c>
      <c r="AZ53" s="63">
        <v>0</v>
      </c>
      <c r="BA53" s="63">
        <v>0</v>
      </c>
      <c r="BB53" s="63">
        <v>0</v>
      </c>
      <c r="BC53" s="63">
        <v>0</v>
      </c>
      <c r="BD53" s="63">
        <v>0</v>
      </c>
      <c r="BE53" s="63">
        <v>0</v>
      </c>
      <c r="BF53" s="63">
        <v>0</v>
      </c>
      <c r="BG53" s="63">
        <v>0</v>
      </c>
      <c r="BH53" s="63">
        <v>0</v>
      </c>
      <c r="BI53" s="63">
        <v>0</v>
      </c>
      <c r="BJ53" s="63">
        <v>0</v>
      </c>
      <c r="BL53" s="391">
        <v>40532</v>
      </c>
      <c r="BM53" s="397">
        <f t="shared" si="5"/>
        <v>0</v>
      </c>
      <c r="BN53" s="397">
        <f t="shared" si="6"/>
        <v>0</v>
      </c>
      <c r="BO53" s="397">
        <f t="shared" si="7"/>
        <v>0</v>
      </c>
      <c r="BP53" s="397">
        <f t="shared" si="8"/>
        <v>0</v>
      </c>
      <c r="BQ53" s="397">
        <f t="shared" si="9"/>
        <v>0</v>
      </c>
      <c r="BR53" s="397">
        <f t="shared" si="10"/>
        <v>0</v>
      </c>
      <c r="BS53" s="397">
        <f t="shared" si="11"/>
        <v>0</v>
      </c>
      <c r="BT53" s="397">
        <f t="shared" si="12"/>
        <v>0</v>
      </c>
      <c r="BU53" s="397">
        <f t="shared" si="13"/>
        <v>0</v>
      </c>
      <c r="BV53" s="397">
        <f t="shared" si="14"/>
        <v>0</v>
      </c>
      <c r="BW53" s="397">
        <f t="shared" si="15"/>
        <v>0</v>
      </c>
      <c r="BX53" s="397">
        <f t="shared" si="16"/>
        <v>0</v>
      </c>
      <c r="BY53" s="397">
        <f t="shared" si="17"/>
        <v>0</v>
      </c>
      <c r="BZ53" s="397">
        <f t="shared" si="18"/>
        <v>0</v>
      </c>
      <c r="CA53" s="397">
        <f t="shared" si="19"/>
        <v>0</v>
      </c>
      <c r="CB53" s="397">
        <f t="shared" si="20"/>
        <v>0</v>
      </c>
      <c r="CC53" s="391">
        <v>40532</v>
      </c>
      <c r="CD53" s="397">
        <f t="shared" si="61"/>
        <v>0</v>
      </c>
      <c r="CE53" s="397">
        <f t="shared" si="62"/>
        <v>0</v>
      </c>
      <c r="CF53" s="397">
        <f t="shared" si="63"/>
        <v>0</v>
      </c>
      <c r="CG53" s="397">
        <f t="shared" si="64"/>
        <v>0</v>
      </c>
      <c r="CH53" s="397">
        <f t="shared" si="65"/>
        <v>0</v>
      </c>
      <c r="CI53" s="397">
        <f t="shared" si="66"/>
        <v>0</v>
      </c>
      <c r="CJ53" s="397" t="e">
        <f t="shared" si="67"/>
        <v>#REF!</v>
      </c>
      <c r="CK53" s="397">
        <f t="shared" si="68"/>
        <v>0</v>
      </c>
      <c r="CL53" s="397">
        <f t="shared" si="69"/>
        <v>0</v>
      </c>
      <c r="CM53" s="397">
        <f t="shared" si="70"/>
        <v>0</v>
      </c>
      <c r="CN53" s="397">
        <f t="shared" si="71"/>
        <v>0</v>
      </c>
      <c r="CO53" s="397">
        <f t="shared" si="72"/>
        <v>0</v>
      </c>
      <c r="CP53" s="397">
        <f t="shared" si="73"/>
        <v>0</v>
      </c>
      <c r="CQ53" s="397">
        <f t="shared" si="74"/>
        <v>0</v>
      </c>
      <c r="CR53" s="397">
        <f t="shared" si="75"/>
        <v>0</v>
      </c>
      <c r="CS53" s="397">
        <f t="shared" si="76"/>
        <v>0</v>
      </c>
      <c r="CT53" s="398" t="e">
        <f t="shared" si="60"/>
        <v>#REF!</v>
      </c>
      <c r="CV53" s="391">
        <v>40532</v>
      </c>
      <c r="CW53" s="399">
        <f>+CW$3-SUM(AU$4:AU53)-0.02</f>
        <v>-1.9073486328541334E-8</v>
      </c>
      <c r="CX53" s="399">
        <f>+CX$3-SUM(AV$4:AV53)</f>
        <v>0</v>
      </c>
      <c r="CY53" s="399">
        <f>+CY$3-SUM(AW$4:AW53)</f>
        <v>0</v>
      </c>
      <c r="CZ53" s="399">
        <f>+CZ$3-SUM(AX$4:AX53)</f>
        <v>9.9999904632568359E-3</v>
      </c>
      <c r="DA53" s="399">
        <f>+DA$3-SUM(AY$4:AY53)</f>
        <v>915607239.41000009</v>
      </c>
      <c r="DB53" s="399">
        <f>+DB$3-SUM(AZ$4:AZ53)</f>
        <v>547472191.47000003</v>
      </c>
      <c r="DC53" s="399" t="e">
        <f>+DC$3-SUM(BA$4:BA53)</f>
        <v>#REF!</v>
      </c>
      <c r="DD53" s="399">
        <f>+DD$3-SUM(BB$4:BB53)</f>
        <v>0</v>
      </c>
      <c r="DE53" s="399">
        <f>+DE$3-SUM(BC$4:BC53)</f>
        <v>112020391.73999999</v>
      </c>
      <c r="DF53" s="399">
        <f>+DF$3-SUM(BD$4:BD53)</f>
        <v>23000000</v>
      </c>
      <c r="DG53" s="399">
        <f>+DG$3-SUM(BE$4:BE53)</f>
        <v>0</v>
      </c>
      <c r="DH53" s="399">
        <f>+DH$3-SUM(BF$4:BF53)</f>
        <v>61041051.780000001</v>
      </c>
      <c r="DI53" s="399">
        <f>+DI$3-SUM(BG$4:BG53)</f>
        <v>56000000</v>
      </c>
      <c r="DJ53" s="399">
        <f>+DJ$3-SUM(BH$4:BH53)</f>
        <v>36902314.299999997</v>
      </c>
      <c r="DK53" s="399">
        <f>+DK$3-SUM(BI$4:BI53)</f>
        <v>141534746.44</v>
      </c>
      <c r="DL53" s="399">
        <f>+DL$3-SUM(BJ$4:BJ53)</f>
        <v>20000000</v>
      </c>
    </row>
    <row r="54" spans="1:116" s="106" customFormat="1">
      <c r="A54" s="391">
        <v>40563</v>
      </c>
      <c r="B54" s="393">
        <v>0</v>
      </c>
      <c r="C54" s="393">
        <v>0</v>
      </c>
      <c r="D54" s="393">
        <v>0</v>
      </c>
      <c r="E54" s="393">
        <v>0</v>
      </c>
      <c r="F54" s="393">
        <v>915607239.41038823</v>
      </c>
      <c r="G54" s="393">
        <v>547472191.47029364</v>
      </c>
      <c r="H54" s="393">
        <v>500000000</v>
      </c>
      <c r="I54" s="393">
        <v>0</v>
      </c>
      <c r="J54" s="393">
        <v>112020391.73598069</v>
      </c>
      <c r="K54" s="393">
        <v>23000000</v>
      </c>
      <c r="L54" s="393">
        <v>0</v>
      </c>
      <c r="M54" s="393">
        <v>61041051.784276903</v>
      </c>
      <c r="N54" s="393">
        <v>56000000</v>
      </c>
      <c r="O54" s="393">
        <v>36902314.302282669</v>
      </c>
      <c r="P54" s="393">
        <v>141534746.44486183</v>
      </c>
      <c r="Q54" s="393">
        <v>20000000</v>
      </c>
      <c r="R54" s="394">
        <f t="shared" si="2"/>
        <v>2413577935.1480842</v>
      </c>
      <c r="S54" s="391">
        <v>40563</v>
      </c>
      <c r="T54" s="395">
        <f t="shared" si="23"/>
        <v>0</v>
      </c>
      <c r="U54" s="395">
        <f t="shared" si="24"/>
        <v>0</v>
      </c>
      <c r="V54" s="395">
        <f t="shared" si="25"/>
        <v>0</v>
      </c>
      <c r="W54" s="395">
        <f t="shared" si="26"/>
        <v>0</v>
      </c>
      <c r="X54" s="395">
        <f t="shared" si="27"/>
        <v>0</v>
      </c>
      <c r="Y54" s="395">
        <f t="shared" si="28"/>
        <v>0</v>
      </c>
      <c r="Z54" s="395">
        <f t="shared" si="29"/>
        <v>0</v>
      </c>
      <c r="AA54" s="395">
        <f t="shared" si="30"/>
        <v>0</v>
      </c>
      <c r="AB54" s="395">
        <f t="shared" si="31"/>
        <v>0</v>
      </c>
      <c r="AC54" s="395">
        <f t="shared" si="32"/>
        <v>0</v>
      </c>
      <c r="AD54" s="395">
        <f t="shared" si="33"/>
        <v>0</v>
      </c>
      <c r="AE54" s="395">
        <f t="shared" si="34"/>
        <v>0</v>
      </c>
      <c r="AF54" s="395">
        <f t="shared" si="35"/>
        <v>0</v>
      </c>
      <c r="AG54" s="395">
        <f t="shared" si="36"/>
        <v>0</v>
      </c>
      <c r="AH54" s="395">
        <f t="shared" si="37"/>
        <v>0</v>
      </c>
      <c r="AI54" s="395">
        <f t="shared" si="38"/>
        <v>0</v>
      </c>
      <c r="AJ54" s="395">
        <f t="shared" si="39"/>
        <v>0</v>
      </c>
      <c r="AK54" s="396"/>
      <c r="AL54" s="391">
        <v>40563</v>
      </c>
      <c r="AM54" s="397">
        <f t="shared" si="40"/>
        <v>1963079430.880682</v>
      </c>
      <c r="AN54" s="397">
        <f t="shared" si="41"/>
        <v>135020391.73598069</v>
      </c>
      <c r="AO54" s="397">
        <f t="shared" si="42"/>
        <v>117041051.7842769</v>
      </c>
      <c r="AP54" s="397">
        <f t="shared" si="43"/>
        <v>198437060.74714449</v>
      </c>
      <c r="AQ54" s="397">
        <f t="shared" si="4"/>
        <v>2413577935.1480842</v>
      </c>
      <c r="AR54" s="353"/>
      <c r="AT54" s="391">
        <v>40563</v>
      </c>
      <c r="AU54" s="63">
        <v>0</v>
      </c>
      <c r="AV54" s="63">
        <v>0</v>
      </c>
      <c r="AW54" s="63">
        <v>0</v>
      </c>
      <c r="AX54" s="63">
        <v>0</v>
      </c>
      <c r="AY54" s="63">
        <v>0</v>
      </c>
      <c r="AZ54" s="63">
        <v>0</v>
      </c>
      <c r="BA54" s="63">
        <v>0</v>
      </c>
      <c r="BB54" s="63">
        <v>0</v>
      </c>
      <c r="BC54" s="63">
        <v>0</v>
      </c>
      <c r="BD54" s="63">
        <v>0</v>
      </c>
      <c r="BE54" s="63">
        <v>0</v>
      </c>
      <c r="BF54" s="63">
        <v>0</v>
      </c>
      <c r="BG54" s="63">
        <v>0</v>
      </c>
      <c r="BH54" s="63">
        <v>0</v>
      </c>
      <c r="BI54" s="63">
        <v>0</v>
      </c>
      <c r="BJ54" s="63">
        <v>0</v>
      </c>
      <c r="BL54" s="391">
        <v>40563</v>
      </c>
      <c r="BM54" s="397">
        <f t="shared" si="5"/>
        <v>0</v>
      </c>
      <c r="BN54" s="397">
        <f t="shared" si="6"/>
        <v>0</v>
      </c>
      <c r="BO54" s="397">
        <f t="shared" si="7"/>
        <v>0</v>
      </c>
      <c r="BP54" s="397">
        <f t="shared" si="8"/>
        <v>0</v>
      </c>
      <c r="BQ54" s="397">
        <f t="shared" si="9"/>
        <v>0</v>
      </c>
      <c r="BR54" s="397">
        <f t="shared" si="10"/>
        <v>0</v>
      </c>
      <c r="BS54" s="397">
        <f t="shared" si="11"/>
        <v>0</v>
      </c>
      <c r="BT54" s="397">
        <f t="shared" si="12"/>
        <v>0</v>
      </c>
      <c r="BU54" s="397">
        <f t="shared" si="13"/>
        <v>0</v>
      </c>
      <c r="BV54" s="397">
        <f t="shared" si="14"/>
        <v>0</v>
      </c>
      <c r="BW54" s="397">
        <f t="shared" si="15"/>
        <v>0</v>
      </c>
      <c r="BX54" s="397">
        <f t="shared" si="16"/>
        <v>0</v>
      </c>
      <c r="BY54" s="397">
        <f t="shared" si="17"/>
        <v>0</v>
      </c>
      <c r="BZ54" s="397">
        <f t="shared" si="18"/>
        <v>0</v>
      </c>
      <c r="CA54" s="397">
        <f t="shared" si="19"/>
        <v>0</v>
      </c>
      <c r="CB54" s="397">
        <f t="shared" si="20"/>
        <v>0</v>
      </c>
      <c r="CC54" s="391">
        <v>40563</v>
      </c>
      <c r="CD54" s="397">
        <f t="shared" si="61"/>
        <v>0</v>
      </c>
      <c r="CE54" s="397">
        <f t="shared" si="62"/>
        <v>0</v>
      </c>
      <c r="CF54" s="397">
        <f t="shared" si="63"/>
        <v>0</v>
      </c>
      <c r="CG54" s="397">
        <f t="shared" si="64"/>
        <v>0</v>
      </c>
      <c r="CH54" s="397">
        <f t="shared" si="65"/>
        <v>0</v>
      </c>
      <c r="CI54" s="397">
        <f t="shared" si="66"/>
        <v>0</v>
      </c>
      <c r="CJ54" s="397" t="e">
        <f t="shared" si="67"/>
        <v>#REF!</v>
      </c>
      <c r="CK54" s="397">
        <f t="shared" si="68"/>
        <v>0</v>
      </c>
      <c r="CL54" s="397">
        <f t="shared" si="69"/>
        <v>0</v>
      </c>
      <c r="CM54" s="397">
        <f t="shared" si="70"/>
        <v>0</v>
      </c>
      <c r="CN54" s="397">
        <f t="shared" si="71"/>
        <v>0</v>
      </c>
      <c r="CO54" s="397">
        <f t="shared" si="72"/>
        <v>0</v>
      </c>
      <c r="CP54" s="397">
        <f t="shared" si="73"/>
        <v>0</v>
      </c>
      <c r="CQ54" s="397">
        <f t="shared" si="74"/>
        <v>0</v>
      </c>
      <c r="CR54" s="397">
        <f t="shared" si="75"/>
        <v>0</v>
      </c>
      <c r="CS54" s="397">
        <f t="shared" si="76"/>
        <v>0</v>
      </c>
      <c r="CT54" s="398" t="e">
        <f t="shared" si="60"/>
        <v>#REF!</v>
      </c>
      <c r="CV54" s="391">
        <v>40563</v>
      </c>
      <c r="CW54" s="399">
        <f>+CW$3-SUM(AU$4:AU54)-0.02</f>
        <v>-1.9073486328541334E-8</v>
      </c>
      <c r="CX54" s="399">
        <f>+CX$3-SUM(AV$4:AV54)</f>
        <v>0</v>
      </c>
      <c r="CY54" s="399">
        <f>+CY$3-SUM(AW$4:AW54)</f>
        <v>0</v>
      </c>
      <c r="CZ54" s="399">
        <f>+CZ$3-SUM(AX$4:AX54)</f>
        <v>9.9999904632568359E-3</v>
      </c>
      <c r="DA54" s="399">
        <f>+DA$3-SUM(AY$4:AY54)</f>
        <v>915607239.41000009</v>
      </c>
      <c r="DB54" s="399">
        <f>+DB$3-SUM(AZ$4:AZ54)</f>
        <v>547472191.47000003</v>
      </c>
      <c r="DC54" s="399" t="e">
        <f>+DC$3-SUM(BA$4:BA54)</f>
        <v>#REF!</v>
      </c>
      <c r="DD54" s="399">
        <f>+DD$3-SUM(BB$4:BB54)</f>
        <v>0</v>
      </c>
      <c r="DE54" s="399">
        <f>+DE$3-SUM(BC$4:BC54)</f>
        <v>112020391.73999999</v>
      </c>
      <c r="DF54" s="399">
        <f>+DF$3-SUM(BD$4:BD54)</f>
        <v>23000000</v>
      </c>
      <c r="DG54" s="399">
        <f>+DG$3-SUM(BE$4:BE54)</f>
        <v>0</v>
      </c>
      <c r="DH54" s="399">
        <f>+DH$3-SUM(BF$4:BF54)</f>
        <v>61041051.780000001</v>
      </c>
      <c r="DI54" s="399">
        <f>+DI$3-SUM(BG$4:BG54)</f>
        <v>56000000</v>
      </c>
      <c r="DJ54" s="399">
        <f>+DJ$3-SUM(BH$4:BH54)</f>
        <v>36902314.299999997</v>
      </c>
      <c r="DK54" s="399">
        <f>+DK$3-SUM(BI$4:BI54)</f>
        <v>141534746.44</v>
      </c>
      <c r="DL54" s="399">
        <f>+DL$3-SUM(BJ$4:BJ54)</f>
        <v>20000000</v>
      </c>
    </row>
    <row r="55" spans="1:116" s="106" customFormat="1">
      <c r="A55" s="391">
        <v>40596</v>
      </c>
      <c r="B55" s="393">
        <v>0</v>
      </c>
      <c r="C55" s="393">
        <v>0</v>
      </c>
      <c r="D55" s="393">
        <v>0</v>
      </c>
      <c r="E55" s="393">
        <v>0</v>
      </c>
      <c r="F55" s="393">
        <v>784734974.97054327</v>
      </c>
      <c r="G55" s="393">
        <v>547472191.47029364</v>
      </c>
      <c r="H55" s="393">
        <v>500000000</v>
      </c>
      <c r="I55" s="393">
        <v>0</v>
      </c>
      <c r="J55" s="393">
        <v>112020391.73598069</v>
      </c>
      <c r="K55" s="393">
        <v>23000000</v>
      </c>
      <c r="L55" s="393">
        <v>0</v>
      </c>
      <c r="M55" s="393">
        <v>61041051.784276903</v>
      </c>
      <c r="N55" s="393">
        <v>56000000</v>
      </c>
      <c r="O55" s="393">
        <v>36902314.302282669</v>
      </c>
      <c r="P55" s="393">
        <v>141534746.44486183</v>
      </c>
      <c r="Q55" s="393">
        <v>20000000</v>
      </c>
      <c r="R55" s="394">
        <f t="shared" si="2"/>
        <v>2282705670.7082391</v>
      </c>
      <c r="S55" s="588">
        <v>40596</v>
      </c>
      <c r="T55" s="589">
        <f t="shared" si="23"/>
        <v>0</v>
      </c>
      <c r="U55" s="589">
        <f t="shared" si="24"/>
        <v>0</v>
      </c>
      <c r="V55" s="589">
        <f t="shared" si="25"/>
        <v>0</v>
      </c>
      <c r="W55" s="589">
        <f t="shared" si="26"/>
        <v>0</v>
      </c>
      <c r="X55" s="589">
        <f t="shared" si="27"/>
        <v>130872264.44</v>
      </c>
      <c r="Y55" s="589">
        <f t="shared" si="28"/>
        <v>0</v>
      </c>
      <c r="Z55" s="589">
        <f t="shared" si="29"/>
        <v>0</v>
      </c>
      <c r="AA55" s="589">
        <f t="shared" si="30"/>
        <v>0</v>
      </c>
      <c r="AB55" s="589">
        <f t="shared" si="31"/>
        <v>0</v>
      </c>
      <c r="AC55" s="589">
        <f t="shared" si="32"/>
        <v>0</v>
      </c>
      <c r="AD55" s="589">
        <f t="shared" si="33"/>
        <v>0</v>
      </c>
      <c r="AE55" s="589">
        <f t="shared" si="34"/>
        <v>0</v>
      </c>
      <c r="AF55" s="589">
        <f t="shared" si="35"/>
        <v>0</v>
      </c>
      <c r="AG55" s="589">
        <f t="shared" si="36"/>
        <v>0</v>
      </c>
      <c r="AH55" s="589">
        <f t="shared" si="37"/>
        <v>0</v>
      </c>
      <c r="AI55" s="589">
        <f t="shared" si="38"/>
        <v>0</v>
      </c>
      <c r="AJ55" s="589">
        <f t="shared" si="39"/>
        <v>130872264.44</v>
      </c>
      <c r="AK55" s="396"/>
      <c r="AL55" s="391">
        <v>40596</v>
      </c>
      <c r="AM55" s="397">
        <f t="shared" si="40"/>
        <v>1832207166.4408369</v>
      </c>
      <c r="AN55" s="397">
        <f t="shared" si="41"/>
        <v>135020391.73598069</v>
      </c>
      <c r="AO55" s="397">
        <f t="shared" si="42"/>
        <v>117041051.7842769</v>
      </c>
      <c r="AP55" s="397">
        <f t="shared" si="43"/>
        <v>198437060.74714449</v>
      </c>
      <c r="AQ55" s="397">
        <f t="shared" si="4"/>
        <v>2282705670.7082391</v>
      </c>
      <c r="AR55" s="353"/>
      <c r="AT55" s="391">
        <v>40596</v>
      </c>
      <c r="AU55" s="63">
        <v>0</v>
      </c>
      <c r="AV55" s="63">
        <v>0</v>
      </c>
      <c r="AW55" s="63">
        <v>0</v>
      </c>
      <c r="AX55" s="63">
        <v>0</v>
      </c>
      <c r="AY55" s="85">
        <v>130872264.44</v>
      </c>
      <c r="AZ55" s="63">
        <v>0</v>
      </c>
      <c r="BA55" s="63">
        <v>0</v>
      </c>
      <c r="BB55" s="63">
        <v>0</v>
      </c>
      <c r="BC55" s="63">
        <v>0</v>
      </c>
      <c r="BD55" s="63">
        <v>0</v>
      </c>
      <c r="BE55" s="63">
        <v>0</v>
      </c>
      <c r="BF55" s="63">
        <v>0</v>
      </c>
      <c r="BG55" s="63">
        <v>0</v>
      </c>
      <c r="BH55" s="63">
        <v>0</v>
      </c>
      <c r="BI55" s="63">
        <v>0</v>
      </c>
      <c r="BJ55" s="63">
        <v>0</v>
      </c>
      <c r="BL55" s="391">
        <v>40596</v>
      </c>
      <c r="BM55" s="397">
        <f t="shared" si="5"/>
        <v>0</v>
      </c>
      <c r="BN55" s="397">
        <f t="shared" si="6"/>
        <v>0</v>
      </c>
      <c r="BO55" s="397">
        <f t="shared" si="7"/>
        <v>0</v>
      </c>
      <c r="BP55" s="397">
        <f t="shared" si="8"/>
        <v>0</v>
      </c>
      <c r="BQ55" s="397">
        <f t="shared" si="9"/>
        <v>0</v>
      </c>
      <c r="BR55" s="397">
        <f t="shared" si="10"/>
        <v>0</v>
      </c>
      <c r="BS55" s="397">
        <f t="shared" si="11"/>
        <v>0</v>
      </c>
      <c r="BT55" s="397">
        <f t="shared" si="12"/>
        <v>0</v>
      </c>
      <c r="BU55" s="397">
        <f t="shared" si="13"/>
        <v>0</v>
      </c>
      <c r="BV55" s="397">
        <f t="shared" si="14"/>
        <v>0</v>
      </c>
      <c r="BW55" s="397">
        <f t="shared" si="15"/>
        <v>0</v>
      </c>
      <c r="BX55" s="397">
        <f t="shared" si="16"/>
        <v>0</v>
      </c>
      <c r="BY55" s="397">
        <f t="shared" si="17"/>
        <v>0</v>
      </c>
      <c r="BZ55" s="397">
        <f t="shared" si="18"/>
        <v>0</v>
      </c>
      <c r="CA55" s="397">
        <f t="shared" si="19"/>
        <v>0</v>
      </c>
      <c r="CB55" s="397">
        <f t="shared" si="20"/>
        <v>0</v>
      </c>
      <c r="CC55" s="391">
        <v>40596</v>
      </c>
      <c r="CD55" s="397">
        <f t="shared" si="61"/>
        <v>0</v>
      </c>
      <c r="CE55" s="397">
        <f t="shared" si="62"/>
        <v>0</v>
      </c>
      <c r="CF55" s="397">
        <f t="shared" si="63"/>
        <v>0</v>
      </c>
      <c r="CG55" s="397">
        <f t="shared" si="64"/>
        <v>0</v>
      </c>
      <c r="CH55" s="397">
        <f t="shared" si="65"/>
        <v>0</v>
      </c>
      <c r="CI55" s="397">
        <f t="shared" si="66"/>
        <v>0</v>
      </c>
      <c r="CJ55" s="397" t="e">
        <f t="shared" si="67"/>
        <v>#REF!</v>
      </c>
      <c r="CK55" s="397">
        <f t="shared" si="68"/>
        <v>0</v>
      </c>
      <c r="CL55" s="397">
        <f t="shared" si="69"/>
        <v>0</v>
      </c>
      <c r="CM55" s="397">
        <f t="shared" si="70"/>
        <v>0</v>
      </c>
      <c r="CN55" s="397">
        <f t="shared" si="71"/>
        <v>0</v>
      </c>
      <c r="CO55" s="397">
        <f t="shared" si="72"/>
        <v>0</v>
      </c>
      <c r="CP55" s="397">
        <f t="shared" si="73"/>
        <v>0</v>
      </c>
      <c r="CQ55" s="397">
        <f t="shared" si="74"/>
        <v>0</v>
      </c>
      <c r="CR55" s="397">
        <f t="shared" si="75"/>
        <v>0</v>
      </c>
      <c r="CS55" s="397">
        <f t="shared" si="76"/>
        <v>0</v>
      </c>
      <c r="CT55" s="398" t="e">
        <f t="shared" si="60"/>
        <v>#REF!</v>
      </c>
      <c r="CV55" s="391">
        <v>40596</v>
      </c>
      <c r="CW55" s="399">
        <f>+CW$3-SUM(AU$4:AU55)-0.02</f>
        <v>-1.9073486328541334E-8</v>
      </c>
      <c r="CX55" s="399">
        <f>+CX$3-SUM(AV$4:AV55)</f>
        <v>0</v>
      </c>
      <c r="CY55" s="399">
        <f>+CY$3-SUM(AW$4:AW55)</f>
        <v>0</v>
      </c>
      <c r="CZ55" s="399">
        <f>+CZ$3-SUM(AX$4:AX55)</f>
        <v>9.9999904632568359E-3</v>
      </c>
      <c r="DA55" s="399">
        <f>+DA$3-SUM(AY$4:AY55)</f>
        <v>784734974.97000003</v>
      </c>
      <c r="DB55" s="399">
        <f>+DB$3-SUM(AZ$4:AZ55)</f>
        <v>547472191.47000003</v>
      </c>
      <c r="DC55" s="399" t="e">
        <f>+DC$3-SUM(BA$4:BA55)</f>
        <v>#REF!</v>
      </c>
      <c r="DD55" s="399">
        <f>+DD$3-SUM(BB$4:BB55)</f>
        <v>0</v>
      </c>
      <c r="DE55" s="399">
        <f>+DE$3-SUM(BC$4:BC55)</f>
        <v>112020391.73999999</v>
      </c>
      <c r="DF55" s="399">
        <f>+DF$3-SUM(BD$4:BD55)</f>
        <v>23000000</v>
      </c>
      <c r="DG55" s="399">
        <f>+DG$3-SUM(BE$4:BE55)</f>
        <v>0</v>
      </c>
      <c r="DH55" s="399">
        <f>+DH$3-SUM(BF$4:BF55)</f>
        <v>61041051.780000001</v>
      </c>
      <c r="DI55" s="399">
        <f>+DI$3-SUM(BG$4:BG55)</f>
        <v>56000000</v>
      </c>
      <c r="DJ55" s="399">
        <f>+DJ$3-SUM(BH$4:BH55)</f>
        <v>36902314.299999997</v>
      </c>
      <c r="DK55" s="399">
        <f>+DK$3-SUM(BI$4:BI55)</f>
        <v>141534746.44</v>
      </c>
      <c r="DL55" s="399">
        <f>+DL$3-SUM(BJ$4:BJ55)</f>
        <v>20000000</v>
      </c>
    </row>
    <row r="56" spans="1:116" s="106" customFormat="1">
      <c r="A56" s="391">
        <v>40622</v>
      </c>
      <c r="B56" s="393">
        <v>0</v>
      </c>
      <c r="C56" s="393">
        <v>0</v>
      </c>
      <c r="D56" s="393">
        <v>0</v>
      </c>
      <c r="E56" s="393">
        <v>0</v>
      </c>
      <c r="F56" s="393">
        <v>784734974.97054327</v>
      </c>
      <c r="G56" s="393">
        <v>547472191.47029364</v>
      </c>
      <c r="H56" s="393">
        <v>500000000</v>
      </c>
      <c r="I56" s="393">
        <v>0</v>
      </c>
      <c r="J56" s="393">
        <v>112020391.73598069</v>
      </c>
      <c r="K56" s="393">
        <v>23000000</v>
      </c>
      <c r="L56" s="393">
        <v>0</v>
      </c>
      <c r="M56" s="393">
        <v>61041051.784276903</v>
      </c>
      <c r="N56" s="393">
        <v>56000000</v>
      </c>
      <c r="O56" s="393">
        <v>36902314.302282669</v>
      </c>
      <c r="P56" s="393">
        <v>141534746.44486183</v>
      </c>
      <c r="Q56" s="393">
        <v>20000000</v>
      </c>
      <c r="R56" s="394">
        <f t="shared" si="2"/>
        <v>2282705670.7082391</v>
      </c>
      <c r="S56" s="391">
        <v>40622</v>
      </c>
      <c r="T56" s="395">
        <f t="shared" si="23"/>
        <v>0</v>
      </c>
      <c r="U56" s="395">
        <f t="shared" si="24"/>
        <v>0</v>
      </c>
      <c r="V56" s="395">
        <f t="shared" si="25"/>
        <v>0</v>
      </c>
      <c r="W56" s="395">
        <f t="shared" si="26"/>
        <v>0</v>
      </c>
      <c r="X56" s="395">
        <f t="shared" si="27"/>
        <v>0</v>
      </c>
      <c r="Y56" s="395">
        <f t="shared" si="28"/>
        <v>0</v>
      </c>
      <c r="Z56" s="395">
        <f t="shared" si="29"/>
        <v>0</v>
      </c>
      <c r="AA56" s="395">
        <f t="shared" si="30"/>
        <v>0</v>
      </c>
      <c r="AB56" s="395">
        <f t="shared" si="31"/>
        <v>0</v>
      </c>
      <c r="AC56" s="395">
        <f t="shared" si="32"/>
        <v>0</v>
      </c>
      <c r="AD56" s="395">
        <f t="shared" si="33"/>
        <v>0</v>
      </c>
      <c r="AE56" s="395">
        <f t="shared" si="34"/>
        <v>0</v>
      </c>
      <c r="AF56" s="395">
        <f t="shared" si="35"/>
        <v>0</v>
      </c>
      <c r="AG56" s="395">
        <f t="shared" si="36"/>
        <v>0</v>
      </c>
      <c r="AH56" s="395">
        <f t="shared" si="37"/>
        <v>0</v>
      </c>
      <c r="AI56" s="395">
        <f t="shared" si="38"/>
        <v>0</v>
      </c>
      <c r="AJ56" s="395">
        <f t="shared" si="39"/>
        <v>0</v>
      </c>
      <c r="AK56" s="396"/>
      <c r="AL56" s="391">
        <v>40622</v>
      </c>
      <c r="AM56" s="397">
        <f t="shared" si="40"/>
        <v>1832207166.4408369</v>
      </c>
      <c r="AN56" s="397">
        <f t="shared" si="41"/>
        <v>135020391.73598069</v>
      </c>
      <c r="AO56" s="397">
        <f t="shared" si="42"/>
        <v>117041051.7842769</v>
      </c>
      <c r="AP56" s="397">
        <f t="shared" si="43"/>
        <v>198437060.74714449</v>
      </c>
      <c r="AQ56" s="397">
        <f t="shared" si="4"/>
        <v>2282705670.7082391</v>
      </c>
      <c r="AR56" s="353"/>
      <c r="AT56" s="391">
        <v>40622</v>
      </c>
      <c r="AU56" s="63">
        <v>0</v>
      </c>
      <c r="AV56" s="63">
        <v>0</v>
      </c>
      <c r="AW56" s="63">
        <v>0</v>
      </c>
      <c r="AX56" s="63">
        <v>0</v>
      </c>
      <c r="AY56" s="85">
        <v>0</v>
      </c>
      <c r="AZ56" s="63">
        <v>0</v>
      </c>
      <c r="BA56" s="63">
        <v>0</v>
      </c>
      <c r="BB56" s="63">
        <v>0</v>
      </c>
      <c r="BC56" s="63">
        <v>0</v>
      </c>
      <c r="BD56" s="63">
        <v>0</v>
      </c>
      <c r="BE56" s="63">
        <v>0</v>
      </c>
      <c r="BF56" s="63">
        <v>0</v>
      </c>
      <c r="BG56" s="63">
        <v>0</v>
      </c>
      <c r="BH56" s="63">
        <v>0</v>
      </c>
      <c r="BI56" s="63">
        <v>0</v>
      </c>
      <c r="BJ56" s="63">
        <v>0</v>
      </c>
      <c r="BL56" s="391">
        <v>40622</v>
      </c>
      <c r="BM56" s="397">
        <f t="shared" si="5"/>
        <v>0</v>
      </c>
      <c r="BN56" s="397">
        <f t="shared" si="6"/>
        <v>0</v>
      </c>
      <c r="BO56" s="397">
        <f t="shared" si="7"/>
        <v>0</v>
      </c>
      <c r="BP56" s="397">
        <f t="shared" si="8"/>
        <v>0</v>
      </c>
      <c r="BQ56" s="397">
        <f t="shared" si="9"/>
        <v>0</v>
      </c>
      <c r="BR56" s="397">
        <f t="shared" si="10"/>
        <v>0</v>
      </c>
      <c r="BS56" s="397">
        <f t="shared" si="11"/>
        <v>0</v>
      </c>
      <c r="BT56" s="397">
        <f t="shared" si="12"/>
        <v>0</v>
      </c>
      <c r="BU56" s="397">
        <f t="shared" si="13"/>
        <v>0</v>
      </c>
      <c r="BV56" s="397">
        <f t="shared" si="14"/>
        <v>0</v>
      </c>
      <c r="BW56" s="397">
        <f t="shared" si="15"/>
        <v>0</v>
      </c>
      <c r="BX56" s="397">
        <f t="shared" si="16"/>
        <v>0</v>
      </c>
      <c r="BY56" s="397">
        <f t="shared" si="17"/>
        <v>0</v>
      </c>
      <c r="BZ56" s="397">
        <f t="shared" si="18"/>
        <v>0</v>
      </c>
      <c r="CA56" s="397">
        <f t="shared" si="19"/>
        <v>0</v>
      </c>
      <c r="CB56" s="397">
        <f t="shared" si="20"/>
        <v>0</v>
      </c>
      <c r="CC56" s="391">
        <v>40622</v>
      </c>
      <c r="CD56" s="397">
        <f t="shared" si="61"/>
        <v>0</v>
      </c>
      <c r="CE56" s="397">
        <f t="shared" si="62"/>
        <v>0</v>
      </c>
      <c r="CF56" s="397">
        <f t="shared" si="63"/>
        <v>0</v>
      </c>
      <c r="CG56" s="397">
        <f t="shared" si="64"/>
        <v>0</v>
      </c>
      <c r="CH56" s="397">
        <f t="shared" si="65"/>
        <v>0</v>
      </c>
      <c r="CI56" s="397">
        <f t="shared" si="66"/>
        <v>0</v>
      </c>
      <c r="CJ56" s="397" t="e">
        <f t="shared" si="67"/>
        <v>#REF!</v>
      </c>
      <c r="CK56" s="397">
        <f t="shared" si="68"/>
        <v>0</v>
      </c>
      <c r="CL56" s="397">
        <f t="shared" si="69"/>
        <v>0</v>
      </c>
      <c r="CM56" s="397">
        <f t="shared" si="70"/>
        <v>0</v>
      </c>
      <c r="CN56" s="397">
        <f t="shared" si="71"/>
        <v>0</v>
      </c>
      <c r="CO56" s="397">
        <f t="shared" si="72"/>
        <v>0</v>
      </c>
      <c r="CP56" s="397">
        <f t="shared" si="73"/>
        <v>0</v>
      </c>
      <c r="CQ56" s="397">
        <f t="shared" si="74"/>
        <v>0</v>
      </c>
      <c r="CR56" s="397">
        <f t="shared" si="75"/>
        <v>0</v>
      </c>
      <c r="CS56" s="397">
        <f t="shared" si="76"/>
        <v>0</v>
      </c>
      <c r="CT56" s="398" t="e">
        <f t="shared" si="60"/>
        <v>#REF!</v>
      </c>
      <c r="CV56" s="391">
        <v>40622</v>
      </c>
      <c r="CW56" s="399">
        <f>+CW$3-SUM(AU$4:AU56)-0.02</f>
        <v>-1.9073486328541334E-8</v>
      </c>
      <c r="CX56" s="399">
        <f>+CX$3-SUM(AV$4:AV56)</f>
        <v>0</v>
      </c>
      <c r="CY56" s="399">
        <f>+CY$3-SUM(AW$4:AW56)</f>
        <v>0</v>
      </c>
      <c r="CZ56" s="399">
        <f>+CZ$3-SUM(AX$4:AX56)</f>
        <v>9.9999904632568359E-3</v>
      </c>
      <c r="DA56" s="399">
        <f>+DA$3-SUM(AY$4:AY56)</f>
        <v>784734974.97000003</v>
      </c>
      <c r="DB56" s="399">
        <f>+DB$3-SUM(AZ$4:AZ56)</f>
        <v>547472191.47000003</v>
      </c>
      <c r="DC56" s="399" t="e">
        <f>+DC$3-SUM(BA$4:BA56)</f>
        <v>#REF!</v>
      </c>
      <c r="DD56" s="399">
        <f>+DD$3-SUM(BB$4:BB56)</f>
        <v>0</v>
      </c>
      <c r="DE56" s="399">
        <f>+DE$3-SUM(BC$4:BC56)</f>
        <v>112020391.73999999</v>
      </c>
      <c r="DF56" s="399">
        <f>+DF$3-SUM(BD$4:BD56)</f>
        <v>23000000</v>
      </c>
      <c r="DG56" s="399">
        <f>+DG$3-SUM(BE$4:BE56)</f>
        <v>0</v>
      </c>
      <c r="DH56" s="399">
        <f>+DH$3-SUM(BF$4:BF56)</f>
        <v>61041051.780000001</v>
      </c>
      <c r="DI56" s="399">
        <f>+DI$3-SUM(BG$4:BG56)</f>
        <v>56000000</v>
      </c>
      <c r="DJ56" s="399">
        <f>+DJ$3-SUM(BH$4:BH56)</f>
        <v>36902314.299999997</v>
      </c>
      <c r="DK56" s="399">
        <f>+DK$3-SUM(BI$4:BI56)</f>
        <v>141534746.44</v>
      </c>
      <c r="DL56" s="399">
        <f>+DL$3-SUM(BJ$4:BJ56)</f>
        <v>20000000</v>
      </c>
    </row>
    <row r="57" spans="1:116" s="106" customFormat="1">
      <c r="A57" s="391">
        <v>40653</v>
      </c>
      <c r="B57" s="393">
        <v>0</v>
      </c>
      <c r="C57" s="393">
        <v>0</v>
      </c>
      <c r="D57" s="393">
        <v>0</v>
      </c>
      <c r="E57" s="393">
        <v>0</v>
      </c>
      <c r="F57" s="393">
        <v>784734974.97054327</v>
      </c>
      <c r="G57" s="393">
        <v>547472191.47029364</v>
      </c>
      <c r="H57" s="393">
        <v>500000000</v>
      </c>
      <c r="I57" s="393">
        <v>0</v>
      </c>
      <c r="J57" s="393">
        <v>112020391.73598069</v>
      </c>
      <c r="K57" s="393">
        <v>23000000</v>
      </c>
      <c r="L57" s="393">
        <v>0</v>
      </c>
      <c r="M57" s="393">
        <v>61041051.784276903</v>
      </c>
      <c r="N57" s="393">
        <v>56000000</v>
      </c>
      <c r="O57" s="393">
        <v>36902314.302282669</v>
      </c>
      <c r="P57" s="393">
        <v>141534746.44486183</v>
      </c>
      <c r="Q57" s="393">
        <v>20000000</v>
      </c>
      <c r="R57" s="394">
        <f t="shared" si="2"/>
        <v>2282705670.7082391</v>
      </c>
      <c r="S57" s="391">
        <v>40653</v>
      </c>
      <c r="T57" s="395">
        <f t="shared" si="23"/>
        <v>0</v>
      </c>
      <c r="U57" s="395">
        <f t="shared" si="24"/>
        <v>0</v>
      </c>
      <c r="V57" s="395">
        <f t="shared" si="25"/>
        <v>0</v>
      </c>
      <c r="W57" s="395">
        <f t="shared" si="26"/>
        <v>0</v>
      </c>
      <c r="X57" s="395">
        <f t="shared" si="27"/>
        <v>0</v>
      </c>
      <c r="Y57" s="395">
        <f t="shared" si="28"/>
        <v>0</v>
      </c>
      <c r="Z57" s="395">
        <f t="shared" si="29"/>
        <v>0</v>
      </c>
      <c r="AA57" s="395">
        <f t="shared" si="30"/>
        <v>0</v>
      </c>
      <c r="AB57" s="395">
        <f t="shared" si="31"/>
        <v>0</v>
      </c>
      <c r="AC57" s="395">
        <f t="shared" si="32"/>
        <v>0</v>
      </c>
      <c r="AD57" s="395">
        <f t="shared" si="33"/>
        <v>0</v>
      </c>
      <c r="AE57" s="395">
        <f t="shared" si="34"/>
        <v>0</v>
      </c>
      <c r="AF57" s="395">
        <f t="shared" si="35"/>
        <v>0</v>
      </c>
      <c r="AG57" s="395">
        <f t="shared" si="36"/>
        <v>0</v>
      </c>
      <c r="AH57" s="395">
        <f t="shared" si="37"/>
        <v>0</v>
      </c>
      <c r="AI57" s="395">
        <f t="shared" si="38"/>
        <v>0</v>
      </c>
      <c r="AJ57" s="395">
        <f t="shared" si="39"/>
        <v>0</v>
      </c>
      <c r="AK57" s="396"/>
      <c r="AL57" s="391">
        <v>40653</v>
      </c>
      <c r="AM57" s="397">
        <f t="shared" si="40"/>
        <v>1832207166.4408369</v>
      </c>
      <c r="AN57" s="397">
        <f t="shared" si="41"/>
        <v>135020391.73598069</v>
      </c>
      <c r="AO57" s="397">
        <f t="shared" si="42"/>
        <v>117041051.7842769</v>
      </c>
      <c r="AP57" s="397">
        <f t="shared" si="43"/>
        <v>198437060.74714449</v>
      </c>
      <c r="AQ57" s="397">
        <f t="shared" si="4"/>
        <v>2282705670.7082391</v>
      </c>
      <c r="AR57" s="353"/>
      <c r="AT57" s="391">
        <v>40653</v>
      </c>
      <c r="AU57" s="63">
        <v>0</v>
      </c>
      <c r="AV57" s="63">
        <v>0</v>
      </c>
      <c r="AW57" s="63">
        <v>0</v>
      </c>
      <c r="AX57" s="63">
        <v>0</v>
      </c>
      <c r="AY57" s="85">
        <v>0</v>
      </c>
      <c r="AZ57" s="63">
        <v>0</v>
      </c>
      <c r="BA57" s="63">
        <v>0</v>
      </c>
      <c r="BB57" s="63">
        <v>0</v>
      </c>
      <c r="BC57" s="63">
        <v>0</v>
      </c>
      <c r="BD57" s="63">
        <v>0</v>
      </c>
      <c r="BE57" s="63">
        <v>0</v>
      </c>
      <c r="BF57" s="63">
        <v>0</v>
      </c>
      <c r="BG57" s="63">
        <v>0</v>
      </c>
      <c r="BH57" s="63">
        <v>0</v>
      </c>
      <c r="BI57" s="63">
        <v>0</v>
      </c>
      <c r="BJ57" s="63">
        <v>0</v>
      </c>
      <c r="BL57" s="391">
        <v>40653</v>
      </c>
      <c r="BM57" s="397">
        <f t="shared" si="5"/>
        <v>0</v>
      </c>
      <c r="BN57" s="397">
        <f t="shared" si="6"/>
        <v>0</v>
      </c>
      <c r="BO57" s="397">
        <f t="shared" si="7"/>
        <v>0</v>
      </c>
      <c r="BP57" s="397">
        <f t="shared" si="8"/>
        <v>0</v>
      </c>
      <c r="BQ57" s="397">
        <f t="shared" si="9"/>
        <v>0</v>
      </c>
      <c r="BR57" s="397">
        <f t="shared" si="10"/>
        <v>0</v>
      </c>
      <c r="BS57" s="397">
        <f t="shared" si="11"/>
        <v>0</v>
      </c>
      <c r="BT57" s="397">
        <f t="shared" si="12"/>
        <v>0</v>
      </c>
      <c r="BU57" s="397">
        <f t="shared" si="13"/>
        <v>0</v>
      </c>
      <c r="BV57" s="397">
        <f t="shared" si="14"/>
        <v>0</v>
      </c>
      <c r="BW57" s="397">
        <f t="shared" si="15"/>
        <v>0</v>
      </c>
      <c r="BX57" s="397">
        <f t="shared" si="16"/>
        <v>0</v>
      </c>
      <c r="BY57" s="397">
        <f t="shared" si="17"/>
        <v>0</v>
      </c>
      <c r="BZ57" s="397">
        <f t="shared" si="18"/>
        <v>0</v>
      </c>
      <c r="CA57" s="397">
        <f t="shared" si="19"/>
        <v>0</v>
      </c>
      <c r="CB57" s="397">
        <f t="shared" si="20"/>
        <v>0</v>
      </c>
      <c r="CC57" s="391">
        <v>40653</v>
      </c>
      <c r="CD57" s="397">
        <f t="shared" si="61"/>
        <v>0</v>
      </c>
      <c r="CE57" s="397">
        <f t="shared" si="62"/>
        <v>0</v>
      </c>
      <c r="CF57" s="397">
        <f t="shared" si="63"/>
        <v>0</v>
      </c>
      <c r="CG57" s="397">
        <f t="shared" si="64"/>
        <v>0</v>
      </c>
      <c r="CH57" s="397">
        <f t="shared" si="65"/>
        <v>0</v>
      </c>
      <c r="CI57" s="397">
        <f t="shared" si="66"/>
        <v>0</v>
      </c>
      <c r="CJ57" s="397" t="e">
        <f t="shared" si="67"/>
        <v>#REF!</v>
      </c>
      <c r="CK57" s="397">
        <f t="shared" si="68"/>
        <v>0</v>
      </c>
      <c r="CL57" s="397">
        <f t="shared" si="69"/>
        <v>0</v>
      </c>
      <c r="CM57" s="397">
        <f t="shared" si="70"/>
        <v>0</v>
      </c>
      <c r="CN57" s="397">
        <f t="shared" si="71"/>
        <v>0</v>
      </c>
      <c r="CO57" s="397">
        <f t="shared" si="72"/>
        <v>0</v>
      </c>
      <c r="CP57" s="397">
        <f t="shared" si="73"/>
        <v>0</v>
      </c>
      <c r="CQ57" s="397">
        <f t="shared" si="74"/>
        <v>0</v>
      </c>
      <c r="CR57" s="397">
        <f t="shared" si="75"/>
        <v>0</v>
      </c>
      <c r="CS57" s="397">
        <f t="shared" si="76"/>
        <v>0</v>
      </c>
      <c r="CT57" s="398" t="e">
        <f t="shared" si="60"/>
        <v>#REF!</v>
      </c>
      <c r="CV57" s="391">
        <v>40653</v>
      </c>
      <c r="CW57" s="399">
        <f>+CW$3-SUM(AU$4:AU57)-0.02</f>
        <v>-1.9073486328541334E-8</v>
      </c>
      <c r="CX57" s="399">
        <f>+CX$3-SUM(AV$4:AV57)</f>
        <v>0</v>
      </c>
      <c r="CY57" s="399">
        <f>+CY$3-SUM(AW$4:AW57)</f>
        <v>0</v>
      </c>
      <c r="CZ57" s="399">
        <f>+CZ$3-SUM(AX$4:AX57)</f>
        <v>9.9999904632568359E-3</v>
      </c>
      <c r="DA57" s="399">
        <f>+DA$3-SUM(AY$4:AY57)</f>
        <v>784734974.97000003</v>
      </c>
      <c r="DB57" s="399">
        <f>+DB$3-SUM(AZ$4:AZ57)</f>
        <v>547472191.47000003</v>
      </c>
      <c r="DC57" s="399" t="e">
        <f>+DC$3-SUM(BA$4:BA57)</f>
        <v>#REF!</v>
      </c>
      <c r="DD57" s="399">
        <f>+DD$3-SUM(BB$4:BB57)</f>
        <v>0</v>
      </c>
      <c r="DE57" s="399">
        <f>+DE$3-SUM(BC$4:BC57)</f>
        <v>112020391.73999999</v>
      </c>
      <c r="DF57" s="399">
        <f>+DF$3-SUM(BD$4:BD57)</f>
        <v>23000000</v>
      </c>
      <c r="DG57" s="399">
        <f>+DG$3-SUM(BE$4:BE57)</f>
        <v>0</v>
      </c>
      <c r="DH57" s="399">
        <f>+DH$3-SUM(BF$4:BF57)</f>
        <v>61041051.780000001</v>
      </c>
      <c r="DI57" s="399">
        <f>+DI$3-SUM(BG$4:BG57)</f>
        <v>56000000</v>
      </c>
      <c r="DJ57" s="399">
        <f>+DJ$3-SUM(BH$4:BH57)</f>
        <v>36902314.299999997</v>
      </c>
      <c r="DK57" s="399">
        <f>+DK$3-SUM(BI$4:BI57)</f>
        <v>141534746.44</v>
      </c>
      <c r="DL57" s="399">
        <f>+DL$3-SUM(BJ$4:BJ57)</f>
        <v>20000000</v>
      </c>
    </row>
    <row r="58" spans="1:116" s="106" customFormat="1">
      <c r="A58" s="391">
        <v>40683</v>
      </c>
      <c r="B58" s="393">
        <v>0</v>
      </c>
      <c r="C58" s="393">
        <v>0</v>
      </c>
      <c r="D58" s="393">
        <v>0</v>
      </c>
      <c r="E58" s="393">
        <v>0</v>
      </c>
      <c r="F58" s="393">
        <v>660963629.0253154</v>
      </c>
      <c r="G58" s="393">
        <v>547472191.47029364</v>
      </c>
      <c r="H58" s="393">
        <v>500000000</v>
      </c>
      <c r="I58" s="393">
        <v>0</v>
      </c>
      <c r="J58" s="393">
        <v>112020391.73598069</v>
      </c>
      <c r="K58" s="393">
        <v>23000000</v>
      </c>
      <c r="L58" s="393">
        <v>0</v>
      </c>
      <c r="M58" s="393">
        <v>61041051.784276903</v>
      </c>
      <c r="N58" s="393">
        <v>56000000</v>
      </c>
      <c r="O58" s="393">
        <v>36902314.302282669</v>
      </c>
      <c r="P58" s="393">
        <v>141534746.44486183</v>
      </c>
      <c r="Q58" s="393">
        <v>20000000</v>
      </c>
      <c r="R58" s="394">
        <f t="shared" si="2"/>
        <v>2158934324.763011</v>
      </c>
      <c r="S58" s="588">
        <v>40683</v>
      </c>
      <c r="T58" s="589">
        <f t="shared" si="23"/>
        <v>0</v>
      </c>
      <c r="U58" s="589">
        <f t="shared" si="24"/>
        <v>0</v>
      </c>
      <c r="V58" s="589">
        <f t="shared" si="25"/>
        <v>0</v>
      </c>
      <c r="W58" s="589">
        <f t="shared" si="26"/>
        <v>0</v>
      </c>
      <c r="X58" s="589">
        <f t="shared" si="27"/>
        <v>123771345.95</v>
      </c>
      <c r="Y58" s="589">
        <f t="shared" si="28"/>
        <v>0</v>
      </c>
      <c r="Z58" s="589">
        <f t="shared" si="29"/>
        <v>0</v>
      </c>
      <c r="AA58" s="589">
        <f t="shared" si="30"/>
        <v>0</v>
      </c>
      <c r="AB58" s="589">
        <f t="shared" si="31"/>
        <v>0</v>
      </c>
      <c r="AC58" s="589">
        <f t="shared" si="32"/>
        <v>0</v>
      </c>
      <c r="AD58" s="589">
        <f t="shared" si="33"/>
        <v>0</v>
      </c>
      <c r="AE58" s="589">
        <f t="shared" si="34"/>
        <v>0</v>
      </c>
      <c r="AF58" s="589">
        <f t="shared" si="35"/>
        <v>0</v>
      </c>
      <c r="AG58" s="589">
        <f t="shared" si="36"/>
        <v>0</v>
      </c>
      <c r="AH58" s="589">
        <f t="shared" si="37"/>
        <v>0</v>
      </c>
      <c r="AI58" s="589">
        <f t="shared" si="38"/>
        <v>0</v>
      </c>
      <c r="AJ58" s="589">
        <f t="shared" si="39"/>
        <v>123771345.95</v>
      </c>
      <c r="AK58" s="396"/>
      <c r="AL58" s="391">
        <v>40683</v>
      </c>
      <c r="AM58" s="397">
        <f t="shared" si="40"/>
        <v>1708435820.495609</v>
      </c>
      <c r="AN58" s="397">
        <f t="shared" si="41"/>
        <v>135020391.73598069</v>
      </c>
      <c r="AO58" s="397">
        <f t="shared" si="42"/>
        <v>117041051.7842769</v>
      </c>
      <c r="AP58" s="397">
        <f t="shared" si="43"/>
        <v>198437060.74714449</v>
      </c>
      <c r="AQ58" s="397">
        <f t="shared" si="4"/>
        <v>2158934324.7630115</v>
      </c>
      <c r="AR58" s="353"/>
      <c r="AT58" s="391">
        <v>40683</v>
      </c>
      <c r="AU58" s="63">
        <v>0</v>
      </c>
      <c r="AV58" s="63">
        <v>0</v>
      </c>
      <c r="AW58" s="63">
        <v>0</v>
      </c>
      <c r="AX58" s="63">
        <v>0</v>
      </c>
      <c r="AY58" s="85">
        <v>123771345.95</v>
      </c>
      <c r="AZ58" s="63">
        <v>0</v>
      </c>
      <c r="BA58" s="63">
        <v>0</v>
      </c>
      <c r="BB58" s="63">
        <v>0</v>
      </c>
      <c r="BC58" s="63">
        <v>0</v>
      </c>
      <c r="BD58" s="63">
        <v>0</v>
      </c>
      <c r="BE58" s="63">
        <v>0</v>
      </c>
      <c r="BF58" s="63">
        <v>0</v>
      </c>
      <c r="BG58" s="63">
        <v>0</v>
      </c>
      <c r="BH58" s="63">
        <v>0</v>
      </c>
      <c r="BI58" s="63">
        <v>0</v>
      </c>
      <c r="BJ58" s="63">
        <v>0</v>
      </c>
      <c r="BL58" s="391">
        <v>40683</v>
      </c>
      <c r="BM58" s="397">
        <f t="shared" si="5"/>
        <v>0</v>
      </c>
      <c r="BN58" s="397">
        <f t="shared" si="6"/>
        <v>0</v>
      </c>
      <c r="BO58" s="397">
        <f t="shared" si="7"/>
        <v>0</v>
      </c>
      <c r="BP58" s="397">
        <f t="shared" si="8"/>
        <v>0</v>
      </c>
      <c r="BQ58" s="397">
        <f t="shared" si="9"/>
        <v>0</v>
      </c>
      <c r="BR58" s="397">
        <f t="shared" si="10"/>
        <v>0</v>
      </c>
      <c r="BS58" s="397">
        <f t="shared" si="11"/>
        <v>0</v>
      </c>
      <c r="BT58" s="397">
        <f t="shared" si="12"/>
        <v>0</v>
      </c>
      <c r="BU58" s="397">
        <f t="shared" si="13"/>
        <v>0</v>
      </c>
      <c r="BV58" s="397">
        <f t="shared" si="14"/>
        <v>0</v>
      </c>
      <c r="BW58" s="397">
        <f t="shared" si="15"/>
        <v>0</v>
      </c>
      <c r="BX58" s="397">
        <f t="shared" si="16"/>
        <v>0</v>
      </c>
      <c r="BY58" s="397">
        <f t="shared" si="17"/>
        <v>0</v>
      </c>
      <c r="BZ58" s="397">
        <f t="shared" si="18"/>
        <v>0</v>
      </c>
      <c r="CA58" s="397">
        <f t="shared" si="19"/>
        <v>0</v>
      </c>
      <c r="CB58" s="397">
        <f t="shared" si="20"/>
        <v>0</v>
      </c>
      <c r="CC58" s="391">
        <v>40683</v>
      </c>
      <c r="CD58" s="397">
        <f t="shared" si="61"/>
        <v>0</v>
      </c>
      <c r="CE58" s="397">
        <f t="shared" si="62"/>
        <v>0</v>
      </c>
      <c r="CF58" s="397">
        <f t="shared" si="63"/>
        <v>0</v>
      </c>
      <c r="CG58" s="397">
        <f t="shared" si="64"/>
        <v>0</v>
      </c>
      <c r="CH58" s="397">
        <f t="shared" si="65"/>
        <v>0</v>
      </c>
      <c r="CI58" s="397">
        <f t="shared" si="66"/>
        <v>0</v>
      </c>
      <c r="CJ58" s="397" t="e">
        <f t="shared" si="67"/>
        <v>#REF!</v>
      </c>
      <c r="CK58" s="397">
        <f t="shared" si="68"/>
        <v>0</v>
      </c>
      <c r="CL58" s="397">
        <f t="shared" si="69"/>
        <v>0</v>
      </c>
      <c r="CM58" s="397">
        <f t="shared" si="70"/>
        <v>0</v>
      </c>
      <c r="CN58" s="397">
        <f t="shared" si="71"/>
        <v>0</v>
      </c>
      <c r="CO58" s="397">
        <f t="shared" si="72"/>
        <v>0</v>
      </c>
      <c r="CP58" s="397">
        <f t="shared" si="73"/>
        <v>0</v>
      </c>
      <c r="CQ58" s="397">
        <f t="shared" si="74"/>
        <v>0</v>
      </c>
      <c r="CR58" s="397">
        <f t="shared" si="75"/>
        <v>0</v>
      </c>
      <c r="CS58" s="397">
        <f t="shared" si="76"/>
        <v>0</v>
      </c>
      <c r="CT58" s="398" t="e">
        <f t="shared" si="60"/>
        <v>#REF!</v>
      </c>
      <c r="CV58" s="391">
        <v>40683</v>
      </c>
      <c r="CW58" s="399">
        <f>+CW$3-SUM(AU$4:AU58)-0.02</f>
        <v>-1.9073486328541334E-8</v>
      </c>
      <c r="CX58" s="399">
        <f>+CX$3-SUM(AV$4:AV58)</f>
        <v>0</v>
      </c>
      <c r="CY58" s="399">
        <f>+CY$3-SUM(AW$4:AW58)</f>
        <v>0</v>
      </c>
      <c r="CZ58" s="399">
        <f>+CZ$3-SUM(AX$4:AX58)</f>
        <v>9.9999904632568359E-3</v>
      </c>
      <c r="DA58" s="399">
        <f>+DA$3-SUM(AY$4:AY58)</f>
        <v>660963629.01999998</v>
      </c>
      <c r="DB58" s="399">
        <f>+DB$3-SUM(AZ$4:AZ58)</f>
        <v>547472191.47000003</v>
      </c>
      <c r="DC58" s="399" t="e">
        <f>+DC$3-SUM(BA$4:BA58)</f>
        <v>#REF!</v>
      </c>
      <c r="DD58" s="399">
        <f>+DD$3-SUM(BB$4:BB58)</f>
        <v>0</v>
      </c>
      <c r="DE58" s="399">
        <f>+DE$3-SUM(BC$4:BC58)</f>
        <v>112020391.73999999</v>
      </c>
      <c r="DF58" s="399">
        <f>+DF$3-SUM(BD$4:BD58)</f>
        <v>23000000</v>
      </c>
      <c r="DG58" s="399">
        <f>+DG$3-SUM(BE$4:BE58)</f>
        <v>0</v>
      </c>
      <c r="DH58" s="399">
        <f>+DH$3-SUM(BF$4:BF58)</f>
        <v>61041051.780000001</v>
      </c>
      <c r="DI58" s="399">
        <f>+DI$3-SUM(BG$4:BG58)</f>
        <v>56000000</v>
      </c>
      <c r="DJ58" s="399">
        <f>+DJ$3-SUM(BH$4:BH58)</f>
        <v>36902314.299999997</v>
      </c>
      <c r="DK58" s="399">
        <f>+DK$3-SUM(BI$4:BI58)</f>
        <v>141534746.44</v>
      </c>
      <c r="DL58" s="399">
        <f>+DL$3-SUM(BJ$4:BJ58)</f>
        <v>20000000</v>
      </c>
    </row>
    <row r="59" spans="1:116" s="106" customFormat="1">
      <c r="A59" s="391">
        <v>40714</v>
      </c>
      <c r="B59" s="393">
        <v>0</v>
      </c>
      <c r="C59" s="393">
        <v>0</v>
      </c>
      <c r="D59" s="393">
        <v>0</v>
      </c>
      <c r="E59" s="393">
        <v>0</v>
      </c>
      <c r="F59" s="393">
        <v>660963629.0253154</v>
      </c>
      <c r="G59" s="393">
        <v>547472191.47029364</v>
      </c>
      <c r="H59" s="393">
        <v>500000000</v>
      </c>
      <c r="I59" s="393">
        <v>0</v>
      </c>
      <c r="J59" s="393">
        <v>112020391.73598069</v>
      </c>
      <c r="K59" s="393">
        <v>23000000</v>
      </c>
      <c r="L59" s="393">
        <v>0</v>
      </c>
      <c r="M59" s="393">
        <v>61041051.784276903</v>
      </c>
      <c r="N59" s="393">
        <v>56000000</v>
      </c>
      <c r="O59" s="393">
        <v>36902314.302282669</v>
      </c>
      <c r="P59" s="393">
        <v>141534746.44486183</v>
      </c>
      <c r="Q59" s="393">
        <v>20000000</v>
      </c>
      <c r="R59" s="394">
        <f t="shared" si="2"/>
        <v>2158934324.763011</v>
      </c>
      <c r="S59" s="391">
        <v>40714</v>
      </c>
      <c r="T59" s="395">
        <f t="shared" si="23"/>
        <v>0</v>
      </c>
      <c r="U59" s="395">
        <f t="shared" si="24"/>
        <v>0</v>
      </c>
      <c r="V59" s="395">
        <f t="shared" si="25"/>
        <v>0</v>
      </c>
      <c r="W59" s="395">
        <f t="shared" si="26"/>
        <v>0</v>
      </c>
      <c r="X59" s="395">
        <f t="shared" si="27"/>
        <v>0</v>
      </c>
      <c r="Y59" s="395">
        <f t="shared" si="28"/>
        <v>0</v>
      </c>
      <c r="Z59" s="395">
        <f t="shared" si="29"/>
        <v>0</v>
      </c>
      <c r="AA59" s="395">
        <f t="shared" si="30"/>
        <v>0</v>
      </c>
      <c r="AB59" s="395">
        <f t="shared" si="31"/>
        <v>0</v>
      </c>
      <c r="AC59" s="395">
        <f t="shared" si="32"/>
        <v>0</v>
      </c>
      <c r="AD59" s="395">
        <f t="shared" si="33"/>
        <v>0</v>
      </c>
      <c r="AE59" s="395">
        <f t="shared" si="34"/>
        <v>0</v>
      </c>
      <c r="AF59" s="395">
        <f t="shared" si="35"/>
        <v>0</v>
      </c>
      <c r="AG59" s="395">
        <f t="shared" si="36"/>
        <v>0</v>
      </c>
      <c r="AH59" s="395">
        <f t="shared" si="37"/>
        <v>0</v>
      </c>
      <c r="AI59" s="395">
        <f t="shared" si="38"/>
        <v>0</v>
      </c>
      <c r="AJ59" s="395">
        <f t="shared" si="39"/>
        <v>0</v>
      </c>
      <c r="AK59" s="396"/>
      <c r="AL59" s="391">
        <v>40714</v>
      </c>
      <c r="AM59" s="397">
        <f t="shared" si="40"/>
        <v>1708435820.495609</v>
      </c>
      <c r="AN59" s="397">
        <f t="shared" si="41"/>
        <v>135020391.73598069</v>
      </c>
      <c r="AO59" s="397">
        <f t="shared" si="42"/>
        <v>117041051.7842769</v>
      </c>
      <c r="AP59" s="397">
        <f t="shared" si="43"/>
        <v>198437060.74714449</v>
      </c>
      <c r="AQ59" s="397">
        <f t="shared" si="4"/>
        <v>2158934324.7630115</v>
      </c>
      <c r="AR59" s="353"/>
      <c r="AT59" s="391">
        <v>40714</v>
      </c>
      <c r="AU59" s="63">
        <v>0</v>
      </c>
      <c r="AV59" s="63">
        <v>0</v>
      </c>
      <c r="AW59" s="63">
        <v>0</v>
      </c>
      <c r="AX59" s="63">
        <v>0</v>
      </c>
      <c r="AY59" s="85">
        <v>0</v>
      </c>
      <c r="AZ59" s="63">
        <v>0</v>
      </c>
      <c r="BA59" s="63">
        <v>0</v>
      </c>
      <c r="BB59" s="63">
        <v>0</v>
      </c>
      <c r="BC59" s="63">
        <v>0</v>
      </c>
      <c r="BD59" s="63">
        <v>0</v>
      </c>
      <c r="BE59" s="63">
        <v>0</v>
      </c>
      <c r="BF59" s="63">
        <v>0</v>
      </c>
      <c r="BG59" s="63">
        <v>0</v>
      </c>
      <c r="BH59" s="63">
        <v>0</v>
      </c>
      <c r="BI59" s="63">
        <v>0</v>
      </c>
      <c r="BJ59" s="63">
        <v>0</v>
      </c>
      <c r="BL59" s="391">
        <v>40714</v>
      </c>
      <c r="BM59" s="397">
        <f t="shared" si="5"/>
        <v>0</v>
      </c>
      <c r="BN59" s="397">
        <f t="shared" si="6"/>
        <v>0</v>
      </c>
      <c r="BO59" s="397">
        <f t="shared" si="7"/>
        <v>0</v>
      </c>
      <c r="BP59" s="397">
        <f t="shared" si="8"/>
        <v>0</v>
      </c>
      <c r="BQ59" s="397">
        <f t="shared" si="9"/>
        <v>0</v>
      </c>
      <c r="BR59" s="397">
        <f t="shared" si="10"/>
        <v>0</v>
      </c>
      <c r="BS59" s="397">
        <f t="shared" si="11"/>
        <v>0</v>
      </c>
      <c r="BT59" s="397">
        <f t="shared" si="12"/>
        <v>0</v>
      </c>
      <c r="BU59" s="397">
        <f t="shared" si="13"/>
        <v>0</v>
      </c>
      <c r="BV59" s="397">
        <f t="shared" si="14"/>
        <v>0</v>
      </c>
      <c r="BW59" s="397">
        <f t="shared" si="15"/>
        <v>0</v>
      </c>
      <c r="BX59" s="397">
        <f t="shared" si="16"/>
        <v>0</v>
      </c>
      <c r="BY59" s="397">
        <f t="shared" si="17"/>
        <v>0</v>
      </c>
      <c r="BZ59" s="397">
        <f t="shared" si="18"/>
        <v>0</v>
      </c>
      <c r="CA59" s="397">
        <f t="shared" si="19"/>
        <v>0</v>
      </c>
      <c r="CB59" s="397">
        <f t="shared" si="20"/>
        <v>0</v>
      </c>
      <c r="CC59" s="391">
        <v>40714</v>
      </c>
      <c r="CD59" s="397">
        <f t="shared" si="61"/>
        <v>0</v>
      </c>
      <c r="CE59" s="397">
        <f t="shared" si="62"/>
        <v>0</v>
      </c>
      <c r="CF59" s="397">
        <f t="shared" si="63"/>
        <v>0</v>
      </c>
      <c r="CG59" s="397">
        <f t="shared" si="64"/>
        <v>0</v>
      </c>
      <c r="CH59" s="397">
        <f t="shared" si="65"/>
        <v>0</v>
      </c>
      <c r="CI59" s="397">
        <f t="shared" si="66"/>
        <v>0</v>
      </c>
      <c r="CJ59" s="397" t="e">
        <f t="shared" si="67"/>
        <v>#REF!</v>
      </c>
      <c r="CK59" s="397">
        <f t="shared" si="68"/>
        <v>0</v>
      </c>
      <c r="CL59" s="397">
        <f t="shared" si="69"/>
        <v>0</v>
      </c>
      <c r="CM59" s="397">
        <f t="shared" si="70"/>
        <v>0</v>
      </c>
      <c r="CN59" s="397">
        <f t="shared" si="71"/>
        <v>0</v>
      </c>
      <c r="CO59" s="397">
        <f t="shared" si="72"/>
        <v>0</v>
      </c>
      <c r="CP59" s="397">
        <f t="shared" si="73"/>
        <v>0</v>
      </c>
      <c r="CQ59" s="397">
        <f t="shared" si="74"/>
        <v>0</v>
      </c>
      <c r="CR59" s="397">
        <f t="shared" si="75"/>
        <v>0</v>
      </c>
      <c r="CS59" s="397">
        <f t="shared" si="76"/>
        <v>0</v>
      </c>
      <c r="CT59" s="398" t="e">
        <f t="shared" si="60"/>
        <v>#REF!</v>
      </c>
      <c r="CV59" s="391">
        <v>40714</v>
      </c>
      <c r="CW59" s="399">
        <f>+CW$3-SUM(AU$4:AU59)-0.02</f>
        <v>-1.9073486328541334E-8</v>
      </c>
      <c r="CX59" s="399">
        <f>+CX$3-SUM(AV$4:AV59)</f>
        <v>0</v>
      </c>
      <c r="CY59" s="399">
        <f>+CY$3-SUM(AW$4:AW59)</f>
        <v>0</v>
      </c>
      <c r="CZ59" s="399">
        <f>+CZ$3-SUM(AX$4:AX59)</f>
        <v>9.9999904632568359E-3</v>
      </c>
      <c r="DA59" s="399">
        <f>+DA$3-SUM(AY$4:AY59)</f>
        <v>660963629.01999998</v>
      </c>
      <c r="DB59" s="399">
        <f>+DB$3-SUM(AZ$4:AZ59)</f>
        <v>547472191.47000003</v>
      </c>
      <c r="DC59" s="399" t="e">
        <f>+DC$3-SUM(BA$4:BA59)</f>
        <v>#REF!</v>
      </c>
      <c r="DD59" s="399">
        <f>+DD$3-SUM(BB$4:BB59)</f>
        <v>0</v>
      </c>
      <c r="DE59" s="399">
        <f>+DE$3-SUM(BC$4:BC59)</f>
        <v>112020391.73999999</v>
      </c>
      <c r="DF59" s="399">
        <f>+DF$3-SUM(BD$4:BD59)</f>
        <v>23000000</v>
      </c>
      <c r="DG59" s="399">
        <f>+DG$3-SUM(BE$4:BE59)</f>
        <v>0</v>
      </c>
      <c r="DH59" s="399">
        <f>+DH$3-SUM(BF$4:BF59)</f>
        <v>61041051.780000001</v>
      </c>
      <c r="DI59" s="399">
        <f>+DI$3-SUM(BG$4:BG59)</f>
        <v>56000000</v>
      </c>
      <c r="DJ59" s="399">
        <f>+DJ$3-SUM(BH$4:BH59)</f>
        <v>36902314.299999997</v>
      </c>
      <c r="DK59" s="399">
        <f>+DK$3-SUM(BI$4:BI59)</f>
        <v>141534746.44</v>
      </c>
      <c r="DL59" s="399">
        <f>+DL$3-SUM(BJ$4:BJ59)</f>
        <v>20000000</v>
      </c>
    </row>
    <row r="60" spans="1:116" s="106" customFormat="1">
      <c r="A60" s="391">
        <v>40744</v>
      </c>
      <c r="B60" s="393">
        <v>0</v>
      </c>
      <c r="C60" s="393">
        <v>0</v>
      </c>
      <c r="D60" s="393">
        <v>0</v>
      </c>
      <c r="E60" s="393">
        <v>0</v>
      </c>
      <c r="F60" s="393">
        <v>660963629.0253154</v>
      </c>
      <c r="G60" s="393">
        <v>547472191.47029364</v>
      </c>
      <c r="H60" s="393">
        <v>500000000</v>
      </c>
      <c r="I60" s="393">
        <v>0</v>
      </c>
      <c r="J60" s="393">
        <v>112020391.73598069</v>
      </c>
      <c r="K60" s="393">
        <v>23000000</v>
      </c>
      <c r="L60" s="393">
        <v>0</v>
      </c>
      <c r="M60" s="393">
        <v>61041051.784276903</v>
      </c>
      <c r="N60" s="393">
        <v>56000000</v>
      </c>
      <c r="O60" s="393">
        <v>36902314.302282669</v>
      </c>
      <c r="P60" s="393">
        <v>141534746.44486183</v>
      </c>
      <c r="Q60" s="393">
        <v>20000000</v>
      </c>
      <c r="R60" s="394">
        <f t="shared" si="2"/>
        <v>2158934324.763011</v>
      </c>
      <c r="S60" s="391">
        <v>40744</v>
      </c>
      <c r="T60" s="395">
        <f t="shared" si="23"/>
        <v>0</v>
      </c>
      <c r="U60" s="395">
        <f t="shared" si="24"/>
        <v>0</v>
      </c>
      <c r="V60" s="395">
        <f t="shared" si="25"/>
        <v>0</v>
      </c>
      <c r="W60" s="395">
        <f t="shared" si="26"/>
        <v>0</v>
      </c>
      <c r="X60" s="395">
        <f t="shared" si="27"/>
        <v>0</v>
      </c>
      <c r="Y60" s="395">
        <f t="shared" si="28"/>
        <v>0</v>
      </c>
      <c r="Z60" s="395">
        <f t="shared" si="29"/>
        <v>0</v>
      </c>
      <c r="AA60" s="395">
        <f t="shared" si="30"/>
        <v>0</v>
      </c>
      <c r="AB60" s="395">
        <f t="shared" si="31"/>
        <v>0</v>
      </c>
      <c r="AC60" s="395">
        <f t="shared" si="32"/>
        <v>0</v>
      </c>
      <c r="AD60" s="395">
        <f t="shared" si="33"/>
        <v>0</v>
      </c>
      <c r="AE60" s="395">
        <f t="shared" si="34"/>
        <v>0</v>
      </c>
      <c r="AF60" s="395">
        <f t="shared" si="35"/>
        <v>0</v>
      </c>
      <c r="AG60" s="395">
        <f t="shared" si="36"/>
        <v>0</v>
      </c>
      <c r="AH60" s="395">
        <f t="shared" si="37"/>
        <v>0</v>
      </c>
      <c r="AI60" s="395">
        <f t="shared" si="38"/>
        <v>0</v>
      </c>
      <c r="AJ60" s="395">
        <f t="shared" si="39"/>
        <v>0</v>
      </c>
      <c r="AK60" s="396"/>
      <c r="AL60" s="391">
        <v>40744</v>
      </c>
      <c r="AM60" s="397">
        <f t="shared" si="40"/>
        <v>1708435820.495609</v>
      </c>
      <c r="AN60" s="397">
        <f t="shared" si="41"/>
        <v>135020391.73598069</v>
      </c>
      <c r="AO60" s="397">
        <f t="shared" si="42"/>
        <v>117041051.7842769</v>
      </c>
      <c r="AP60" s="397">
        <f t="shared" si="43"/>
        <v>198437060.74714449</v>
      </c>
      <c r="AQ60" s="397">
        <f t="shared" si="4"/>
        <v>2158934324.7630115</v>
      </c>
      <c r="AR60" s="353"/>
      <c r="AT60" s="391">
        <v>40744</v>
      </c>
      <c r="AU60" s="63">
        <v>0</v>
      </c>
      <c r="AV60" s="63">
        <v>0</v>
      </c>
      <c r="AW60" s="63">
        <v>0</v>
      </c>
      <c r="AX60" s="63">
        <v>0</v>
      </c>
      <c r="AY60" s="85">
        <v>0</v>
      </c>
      <c r="AZ60" s="63">
        <v>0</v>
      </c>
      <c r="BA60" s="63">
        <v>0</v>
      </c>
      <c r="BB60" s="63">
        <v>0</v>
      </c>
      <c r="BC60" s="63">
        <v>0</v>
      </c>
      <c r="BD60" s="63">
        <v>0</v>
      </c>
      <c r="BE60" s="63">
        <v>0</v>
      </c>
      <c r="BF60" s="63">
        <v>0</v>
      </c>
      <c r="BG60" s="63">
        <v>0</v>
      </c>
      <c r="BH60" s="63">
        <v>0</v>
      </c>
      <c r="BI60" s="63">
        <v>0</v>
      </c>
      <c r="BJ60" s="63">
        <v>0</v>
      </c>
      <c r="BL60" s="391">
        <v>40744</v>
      </c>
      <c r="BM60" s="397">
        <f t="shared" si="5"/>
        <v>0</v>
      </c>
      <c r="BN60" s="397">
        <f t="shared" si="6"/>
        <v>0</v>
      </c>
      <c r="BO60" s="397">
        <f t="shared" si="7"/>
        <v>0</v>
      </c>
      <c r="BP60" s="397">
        <f t="shared" si="8"/>
        <v>0</v>
      </c>
      <c r="BQ60" s="397">
        <f t="shared" si="9"/>
        <v>0</v>
      </c>
      <c r="BR60" s="397">
        <f t="shared" si="10"/>
        <v>0</v>
      </c>
      <c r="BS60" s="397">
        <f t="shared" si="11"/>
        <v>0</v>
      </c>
      <c r="BT60" s="397">
        <f t="shared" si="12"/>
        <v>0</v>
      </c>
      <c r="BU60" s="397">
        <f t="shared" si="13"/>
        <v>0</v>
      </c>
      <c r="BV60" s="397">
        <f t="shared" si="14"/>
        <v>0</v>
      </c>
      <c r="BW60" s="397">
        <f t="shared" si="15"/>
        <v>0</v>
      </c>
      <c r="BX60" s="397">
        <f t="shared" si="16"/>
        <v>0</v>
      </c>
      <c r="BY60" s="397">
        <f t="shared" si="17"/>
        <v>0</v>
      </c>
      <c r="BZ60" s="397">
        <f t="shared" si="18"/>
        <v>0</v>
      </c>
      <c r="CA60" s="397">
        <f t="shared" si="19"/>
        <v>0</v>
      </c>
      <c r="CB60" s="397">
        <f t="shared" si="20"/>
        <v>0</v>
      </c>
      <c r="CC60" s="391">
        <v>40744</v>
      </c>
      <c r="CD60" s="397">
        <f t="shared" si="61"/>
        <v>0</v>
      </c>
      <c r="CE60" s="397">
        <f t="shared" si="62"/>
        <v>0</v>
      </c>
      <c r="CF60" s="397">
        <f t="shared" si="63"/>
        <v>0</v>
      </c>
      <c r="CG60" s="397">
        <f t="shared" si="64"/>
        <v>0</v>
      </c>
      <c r="CH60" s="397">
        <f t="shared" si="65"/>
        <v>0</v>
      </c>
      <c r="CI60" s="397">
        <f t="shared" si="66"/>
        <v>0</v>
      </c>
      <c r="CJ60" s="397" t="e">
        <f t="shared" si="67"/>
        <v>#REF!</v>
      </c>
      <c r="CK60" s="397">
        <f t="shared" si="68"/>
        <v>0</v>
      </c>
      <c r="CL60" s="397">
        <f t="shared" si="69"/>
        <v>0</v>
      </c>
      <c r="CM60" s="397">
        <f t="shared" si="70"/>
        <v>0</v>
      </c>
      <c r="CN60" s="397">
        <f t="shared" si="71"/>
        <v>0</v>
      </c>
      <c r="CO60" s="397">
        <f t="shared" si="72"/>
        <v>0</v>
      </c>
      <c r="CP60" s="397">
        <f t="shared" si="73"/>
        <v>0</v>
      </c>
      <c r="CQ60" s="397">
        <f t="shared" si="74"/>
        <v>0</v>
      </c>
      <c r="CR60" s="397">
        <f t="shared" si="75"/>
        <v>0</v>
      </c>
      <c r="CS60" s="397">
        <f t="shared" si="76"/>
        <v>0</v>
      </c>
      <c r="CT60" s="398" t="e">
        <f t="shared" si="60"/>
        <v>#REF!</v>
      </c>
      <c r="CV60" s="391">
        <v>40744</v>
      </c>
      <c r="CW60" s="399">
        <f>+CW$3-SUM(AU$4:AU60)-0.02</f>
        <v>-1.9073486328541334E-8</v>
      </c>
      <c r="CX60" s="399">
        <f>+CX$3-SUM(AV$4:AV60)</f>
        <v>0</v>
      </c>
      <c r="CY60" s="399">
        <f>+CY$3-SUM(AW$4:AW60)</f>
        <v>0</v>
      </c>
      <c r="CZ60" s="399">
        <f>+CZ$3-SUM(AX$4:AX60)</f>
        <v>9.9999904632568359E-3</v>
      </c>
      <c r="DA60" s="399">
        <f>+DA$3-SUM(AY$4:AY60)</f>
        <v>660963629.01999998</v>
      </c>
      <c r="DB60" s="399">
        <f>+DB$3-SUM(AZ$4:AZ60)</f>
        <v>547472191.47000003</v>
      </c>
      <c r="DC60" s="399" t="e">
        <f>+DC$3-SUM(BA$4:BA60)</f>
        <v>#REF!</v>
      </c>
      <c r="DD60" s="399">
        <f>+DD$3-SUM(BB$4:BB60)</f>
        <v>0</v>
      </c>
      <c r="DE60" s="399">
        <f>+DE$3-SUM(BC$4:BC60)</f>
        <v>112020391.73999999</v>
      </c>
      <c r="DF60" s="399">
        <f>+DF$3-SUM(BD$4:BD60)</f>
        <v>23000000</v>
      </c>
      <c r="DG60" s="399">
        <f>+DG$3-SUM(BE$4:BE60)</f>
        <v>0</v>
      </c>
      <c r="DH60" s="399">
        <f>+DH$3-SUM(BF$4:BF60)</f>
        <v>61041051.780000001</v>
      </c>
      <c r="DI60" s="399">
        <f>+DI$3-SUM(BG$4:BG60)</f>
        <v>56000000</v>
      </c>
      <c r="DJ60" s="399">
        <f>+DJ$3-SUM(BH$4:BH60)</f>
        <v>36902314.299999997</v>
      </c>
      <c r="DK60" s="399">
        <f>+DK$3-SUM(BI$4:BI60)</f>
        <v>141534746.44</v>
      </c>
      <c r="DL60" s="399">
        <f>+DL$3-SUM(BJ$4:BJ60)</f>
        <v>20000000</v>
      </c>
    </row>
    <row r="61" spans="1:116" s="106" customFormat="1">
      <c r="A61" s="391">
        <v>40777</v>
      </c>
      <c r="B61" s="393">
        <v>0</v>
      </c>
      <c r="C61" s="393">
        <v>0</v>
      </c>
      <c r="D61" s="393">
        <v>0</v>
      </c>
      <c r="E61" s="393">
        <v>0</v>
      </c>
      <c r="F61" s="393">
        <v>543907917.16258693</v>
      </c>
      <c r="G61" s="393">
        <v>547472191.47029364</v>
      </c>
      <c r="H61" s="393">
        <v>500000000</v>
      </c>
      <c r="I61" s="393">
        <v>0</v>
      </c>
      <c r="J61" s="393">
        <v>112020391.73598069</v>
      </c>
      <c r="K61" s="393">
        <v>23000000</v>
      </c>
      <c r="L61" s="393">
        <v>0</v>
      </c>
      <c r="M61" s="393">
        <v>61041051.784276903</v>
      </c>
      <c r="N61" s="393">
        <v>56000000</v>
      </c>
      <c r="O61" s="393">
        <v>36902314.302282669</v>
      </c>
      <c r="P61" s="393">
        <v>141534746.44486183</v>
      </c>
      <c r="Q61" s="393">
        <v>20000000</v>
      </c>
      <c r="R61" s="394">
        <f t="shared" si="2"/>
        <v>2041878612.9002829</v>
      </c>
      <c r="S61" s="588">
        <v>40777</v>
      </c>
      <c r="T61" s="589">
        <f t="shared" si="23"/>
        <v>0</v>
      </c>
      <c r="U61" s="589">
        <f t="shared" si="24"/>
        <v>0</v>
      </c>
      <c r="V61" s="589">
        <f t="shared" si="25"/>
        <v>0</v>
      </c>
      <c r="W61" s="589">
        <f t="shared" si="26"/>
        <v>0</v>
      </c>
      <c r="X61" s="589">
        <f t="shared" si="27"/>
        <v>117055711.86</v>
      </c>
      <c r="Y61" s="589">
        <f t="shared" si="28"/>
        <v>0</v>
      </c>
      <c r="Z61" s="589">
        <f t="shared" si="29"/>
        <v>0</v>
      </c>
      <c r="AA61" s="589">
        <f t="shared" si="30"/>
        <v>0</v>
      </c>
      <c r="AB61" s="589">
        <f t="shared" si="31"/>
        <v>0</v>
      </c>
      <c r="AC61" s="589">
        <f t="shared" si="32"/>
        <v>0</v>
      </c>
      <c r="AD61" s="589">
        <f t="shared" si="33"/>
        <v>0</v>
      </c>
      <c r="AE61" s="589">
        <f t="shared" si="34"/>
        <v>0</v>
      </c>
      <c r="AF61" s="589">
        <f t="shared" si="35"/>
        <v>0</v>
      </c>
      <c r="AG61" s="589">
        <f t="shared" si="36"/>
        <v>0</v>
      </c>
      <c r="AH61" s="589">
        <f t="shared" si="37"/>
        <v>0</v>
      </c>
      <c r="AI61" s="589">
        <f t="shared" si="38"/>
        <v>0</v>
      </c>
      <c r="AJ61" s="589">
        <f t="shared" si="39"/>
        <v>117055711.86</v>
      </c>
      <c r="AK61" s="396"/>
      <c r="AL61" s="391">
        <v>40777</v>
      </c>
      <c r="AM61" s="397">
        <f t="shared" si="40"/>
        <v>1591380108.6328807</v>
      </c>
      <c r="AN61" s="397">
        <f t="shared" si="41"/>
        <v>135020391.73598069</v>
      </c>
      <c r="AO61" s="397">
        <f t="shared" si="42"/>
        <v>117041051.7842769</v>
      </c>
      <c r="AP61" s="397">
        <f t="shared" si="43"/>
        <v>198437060.74714449</v>
      </c>
      <c r="AQ61" s="397">
        <f t="shared" si="4"/>
        <v>2041878612.9002829</v>
      </c>
      <c r="AR61" s="353"/>
      <c r="AT61" s="391">
        <v>40777</v>
      </c>
      <c r="AU61" s="63">
        <v>0</v>
      </c>
      <c r="AV61" s="63">
        <v>0</v>
      </c>
      <c r="AW61" s="63">
        <v>0</v>
      </c>
      <c r="AX61" s="63">
        <v>0</v>
      </c>
      <c r="AY61" s="85">
        <v>117055711.86</v>
      </c>
      <c r="AZ61" s="63">
        <v>0</v>
      </c>
      <c r="BA61" s="63">
        <v>0</v>
      </c>
      <c r="BB61" s="63">
        <v>0</v>
      </c>
      <c r="BC61" s="63">
        <v>0</v>
      </c>
      <c r="BD61" s="63">
        <v>0</v>
      </c>
      <c r="BE61" s="63">
        <v>0</v>
      </c>
      <c r="BF61" s="63">
        <v>0</v>
      </c>
      <c r="BG61" s="63">
        <v>0</v>
      </c>
      <c r="BH61" s="63">
        <v>0</v>
      </c>
      <c r="BI61" s="63">
        <v>0</v>
      </c>
      <c r="BJ61" s="63">
        <v>0</v>
      </c>
      <c r="BL61" s="391">
        <v>40777</v>
      </c>
      <c r="BM61" s="397">
        <f t="shared" si="5"/>
        <v>0</v>
      </c>
      <c r="BN61" s="397">
        <f t="shared" si="6"/>
        <v>0</v>
      </c>
      <c r="BO61" s="397">
        <f t="shared" si="7"/>
        <v>0</v>
      </c>
      <c r="BP61" s="397">
        <f t="shared" si="8"/>
        <v>0</v>
      </c>
      <c r="BQ61" s="397">
        <f t="shared" si="9"/>
        <v>0</v>
      </c>
      <c r="BR61" s="397">
        <f t="shared" si="10"/>
        <v>0</v>
      </c>
      <c r="BS61" s="397">
        <f t="shared" si="11"/>
        <v>0</v>
      </c>
      <c r="BT61" s="397">
        <f t="shared" si="12"/>
        <v>0</v>
      </c>
      <c r="BU61" s="397">
        <f t="shared" si="13"/>
        <v>0</v>
      </c>
      <c r="BV61" s="397">
        <f t="shared" si="14"/>
        <v>0</v>
      </c>
      <c r="BW61" s="397">
        <f t="shared" si="15"/>
        <v>0</v>
      </c>
      <c r="BX61" s="397">
        <f t="shared" si="16"/>
        <v>0</v>
      </c>
      <c r="BY61" s="397">
        <f t="shared" si="17"/>
        <v>0</v>
      </c>
      <c r="BZ61" s="397">
        <f t="shared" si="18"/>
        <v>0</v>
      </c>
      <c r="CA61" s="397">
        <f t="shared" si="19"/>
        <v>0</v>
      </c>
      <c r="CB61" s="397">
        <f t="shared" si="20"/>
        <v>0</v>
      </c>
      <c r="CC61" s="391">
        <v>40777</v>
      </c>
      <c r="CD61" s="397">
        <f t="shared" si="61"/>
        <v>0</v>
      </c>
      <c r="CE61" s="397">
        <f t="shared" si="62"/>
        <v>0</v>
      </c>
      <c r="CF61" s="397">
        <f t="shared" si="63"/>
        <v>0</v>
      </c>
      <c r="CG61" s="397">
        <f t="shared" si="64"/>
        <v>0</v>
      </c>
      <c r="CH61" s="397">
        <f t="shared" si="65"/>
        <v>0</v>
      </c>
      <c r="CI61" s="397">
        <f t="shared" si="66"/>
        <v>0</v>
      </c>
      <c r="CJ61" s="397" t="e">
        <f t="shared" si="67"/>
        <v>#REF!</v>
      </c>
      <c r="CK61" s="397">
        <f t="shared" si="68"/>
        <v>0</v>
      </c>
      <c r="CL61" s="397">
        <f t="shared" si="69"/>
        <v>0</v>
      </c>
      <c r="CM61" s="397">
        <f t="shared" si="70"/>
        <v>0</v>
      </c>
      <c r="CN61" s="397">
        <f t="shared" si="71"/>
        <v>0</v>
      </c>
      <c r="CO61" s="397">
        <f t="shared" si="72"/>
        <v>0</v>
      </c>
      <c r="CP61" s="397">
        <f t="shared" si="73"/>
        <v>0</v>
      </c>
      <c r="CQ61" s="397">
        <f t="shared" si="74"/>
        <v>0</v>
      </c>
      <c r="CR61" s="397">
        <f t="shared" si="75"/>
        <v>0</v>
      </c>
      <c r="CS61" s="397">
        <f t="shared" si="76"/>
        <v>0</v>
      </c>
      <c r="CT61" s="398" t="e">
        <f t="shared" si="60"/>
        <v>#REF!</v>
      </c>
      <c r="CV61" s="391">
        <v>40777</v>
      </c>
      <c r="CW61" s="399">
        <f>+CW$3-SUM(AU$4:AU61)-0.02</f>
        <v>-1.9073486328541334E-8</v>
      </c>
      <c r="CX61" s="399">
        <f>+CX$3-SUM(AV$4:AV61)</f>
        <v>0</v>
      </c>
      <c r="CY61" s="399">
        <f>+CY$3-SUM(AW$4:AW61)</f>
        <v>0</v>
      </c>
      <c r="CZ61" s="399">
        <f>+CZ$3-SUM(AX$4:AX61)</f>
        <v>9.9999904632568359E-3</v>
      </c>
      <c r="DA61" s="399">
        <f>+DA$3-SUM(AY$4:AY61)</f>
        <v>543907917.16000009</v>
      </c>
      <c r="DB61" s="399">
        <f>+DB$3-SUM(AZ$4:AZ61)</f>
        <v>547472191.47000003</v>
      </c>
      <c r="DC61" s="399" t="e">
        <f>+DC$3-SUM(BA$4:BA61)</f>
        <v>#REF!</v>
      </c>
      <c r="DD61" s="399">
        <f>+DD$3-SUM(BB$4:BB61)</f>
        <v>0</v>
      </c>
      <c r="DE61" s="399">
        <f>+DE$3-SUM(BC$4:BC61)</f>
        <v>112020391.73999999</v>
      </c>
      <c r="DF61" s="399">
        <f>+DF$3-SUM(BD$4:BD61)</f>
        <v>23000000</v>
      </c>
      <c r="DG61" s="399">
        <f>+DG$3-SUM(BE$4:BE61)</f>
        <v>0</v>
      </c>
      <c r="DH61" s="399">
        <f>+DH$3-SUM(BF$4:BF61)</f>
        <v>61041051.780000001</v>
      </c>
      <c r="DI61" s="399">
        <f>+DI$3-SUM(BG$4:BG61)</f>
        <v>56000000</v>
      </c>
      <c r="DJ61" s="399">
        <f>+DJ$3-SUM(BH$4:BH61)</f>
        <v>36902314.299999997</v>
      </c>
      <c r="DK61" s="399">
        <f>+DK$3-SUM(BI$4:BI61)</f>
        <v>141534746.44</v>
      </c>
      <c r="DL61" s="399">
        <f>+DL$3-SUM(BJ$4:BJ61)</f>
        <v>20000000</v>
      </c>
    </row>
    <row r="62" spans="1:116" s="106" customFormat="1">
      <c r="A62" s="391">
        <v>40806</v>
      </c>
      <c r="B62" s="393">
        <v>0</v>
      </c>
      <c r="C62" s="393">
        <v>0</v>
      </c>
      <c r="D62" s="393">
        <v>0</v>
      </c>
      <c r="E62" s="393">
        <v>0</v>
      </c>
      <c r="F62" s="393">
        <v>543907917.16258693</v>
      </c>
      <c r="G62" s="393">
        <v>547472191.47029364</v>
      </c>
      <c r="H62" s="393">
        <v>500000000</v>
      </c>
      <c r="I62" s="393">
        <v>0</v>
      </c>
      <c r="J62" s="393">
        <v>112020391.73598069</v>
      </c>
      <c r="K62" s="393">
        <v>23000000</v>
      </c>
      <c r="L62" s="393">
        <v>0</v>
      </c>
      <c r="M62" s="393">
        <v>61041051.784276903</v>
      </c>
      <c r="N62" s="393">
        <v>56000000</v>
      </c>
      <c r="O62" s="393">
        <v>36902314.302282669</v>
      </c>
      <c r="P62" s="393">
        <v>141534746.44486183</v>
      </c>
      <c r="Q62" s="393">
        <v>20000000</v>
      </c>
      <c r="R62" s="394">
        <f t="shared" si="2"/>
        <v>2041878612.9002829</v>
      </c>
      <c r="S62" s="391">
        <v>40806</v>
      </c>
      <c r="T62" s="395">
        <f t="shared" si="23"/>
        <v>0</v>
      </c>
      <c r="U62" s="395">
        <f t="shared" si="24"/>
        <v>0</v>
      </c>
      <c r="V62" s="395">
        <f t="shared" si="25"/>
        <v>0</v>
      </c>
      <c r="W62" s="395">
        <f t="shared" si="26"/>
        <v>0</v>
      </c>
      <c r="X62" s="395">
        <f t="shared" si="27"/>
        <v>0</v>
      </c>
      <c r="Y62" s="395">
        <f t="shared" si="28"/>
        <v>0</v>
      </c>
      <c r="Z62" s="395">
        <f t="shared" si="29"/>
        <v>0</v>
      </c>
      <c r="AA62" s="395">
        <f t="shared" si="30"/>
        <v>0</v>
      </c>
      <c r="AB62" s="395">
        <f t="shared" si="31"/>
        <v>0</v>
      </c>
      <c r="AC62" s="395">
        <f t="shared" si="32"/>
        <v>0</v>
      </c>
      <c r="AD62" s="395">
        <f t="shared" si="33"/>
        <v>0</v>
      </c>
      <c r="AE62" s="395">
        <f t="shared" si="34"/>
        <v>0</v>
      </c>
      <c r="AF62" s="395">
        <f t="shared" si="35"/>
        <v>0</v>
      </c>
      <c r="AG62" s="395">
        <f t="shared" si="36"/>
        <v>0</v>
      </c>
      <c r="AH62" s="395">
        <f t="shared" si="37"/>
        <v>0</v>
      </c>
      <c r="AI62" s="395">
        <f t="shared" si="38"/>
        <v>0</v>
      </c>
      <c r="AJ62" s="395">
        <f t="shared" si="39"/>
        <v>0</v>
      </c>
      <c r="AK62" s="396"/>
      <c r="AL62" s="391">
        <v>40806</v>
      </c>
      <c r="AM62" s="397">
        <f t="shared" si="40"/>
        <v>1591380108.6328807</v>
      </c>
      <c r="AN62" s="397">
        <f t="shared" si="41"/>
        <v>135020391.73598069</v>
      </c>
      <c r="AO62" s="397">
        <f t="shared" si="42"/>
        <v>117041051.7842769</v>
      </c>
      <c r="AP62" s="397">
        <f t="shared" si="43"/>
        <v>198437060.74714449</v>
      </c>
      <c r="AQ62" s="397">
        <f t="shared" si="4"/>
        <v>2041878612.9002829</v>
      </c>
      <c r="AR62" s="353"/>
      <c r="AT62" s="391">
        <v>40806</v>
      </c>
      <c r="AU62" s="63">
        <v>0</v>
      </c>
      <c r="AV62" s="63">
        <v>0</v>
      </c>
      <c r="AW62" s="63">
        <v>0</v>
      </c>
      <c r="AX62" s="63">
        <v>0</v>
      </c>
      <c r="AY62" s="63">
        <v>0</v>
      </c>
      <c r="AZ62" s="63">
        <v>0</v>
      </c>
      <c r="BA62" s="63">
        <v>0</v>
      </c>
      <c r="BB62" s="63">
        <v>0</v>
      </c>
      <c r="BC62" s="63">
        <v>0</v>
      </c>
      <c r="BD62" s="63">
        <v>0</v>
      </c>
      <c r="BE62" s="63">
        <v>0</v>
      </c>
      <c r="BF62" s="63">
        <v>0</v>
      </c>
      <c r="BG62" s="63">
        <v>0</v>
      </c>
      <c r="BH62" s="63">
        <v>0</v>
      </c>
      <c r="BI62" s="63">
        <v>0</v>
      </c>
      <c r="BJ62" s="63">
        <v>0</v>
      </c>
      <c r="BL62" s="391">
        <v>40806</v>
      </c>
      <c r="BM62" s="397">
        <f t="shared" si="5"/>
        <v>0</v>
      </c>
      <c r="BN62" s="397">
        <f t="shared" si="6"/>
        <v>0</v>
      </c>
      <c r="BO62" s="397">
        <f t="shared" si="7"/>
        <v>0</v>
      </c>
      <c r="BP62" s="397">
        <f t="shared" si="8"/>
        <v>0</v>
      </c>
      <c r="BQ62" s="397">
        <f t="shared" si="9"/>
        <v>0</v>
      </c>
      <c r="BR62" s="397">
        <f t="shared" si="10"/>
        <v>0</v>
      </c>
      <c r="BS62" s="397">
        <f t="shared" si="11"/>
        <v>0</v>
      </c>
      <c r="BT62" s="397">
        <f t="shared" si="12"/>
        <v>0</v>
      </c>
      <c r="BU62" s="397">
        <f t="shared" si="13"/>
        <v>0</v>
      </c>
      <c r="BV62" s="397">
        <f t="shared" si="14"/>
        <v>0</v>
      </c>
      <c r="BW62" s="397">
        <f t="shared" si="15"/>
        <v>0</v>
      </c>
      <c r="BX62" s="397">
        <f t="shared" si="16"/>
        <v>0</v>
      </c>
      <c r="BY62" s="397">
        <f t="shared" si="17"/>
        <v>0</v>
      </c>
      <c r="BZ62" s="397">
        <f t="shared" si="18"/>
        <v>0</v>
      </c>
      <c r="CA62" s="397">
        <f t="shared" si="19"/>
        <v>0</v>
      </c>
      <c r="CB62" s="397">
        <f t="shared" si="20"/>
        <v>0</v>
      </c>
      <c r="CC62" s="391">
        <v>40806</v>
      </c>
      <c r="CD62" s="397">
        <f t="shared" si="61"/>
        <v>0</v>
      </c>
      <c r="CE62" s="397">
        <f t="shared" si="62"/>
        <v>0</v>
      </c>
      <c r="CF62" s="397">
        <f t="shared" si="63"/>
        <v>0</v>
      </c>
      <c r="CG62" s="397">
        <f t="shared" si="64"/>
        <v>0</v>
      </c>
      <c r="CH62" s="397">
        <f t="shared" si="65"/>
        <v>0</v>
      </c>
      <c r="CI62" s="397">
        <f t="shared" si="66"/>
        <v>0</v>
      </c>
      <c r="CJ62" s="397" t="e">
        <f t="shared" si="67"/>
        <v>#REF!</v>
      </c>
      <c r="CK62" s="397">
        <f t="shared" si="68"/>
        <v>0</v>
      </c>
      <c r="CL62" s="397">
        <f t="shared" si="69"/>
        <v>0</v>
      </c>
      <c r="CM62" s="397">
        <f t="shared" si="70"/>
        <v>0</v>
      </c>
      <c r="CN62" s="397">
        <f t="shared" si="71"/>
        <v>0</v>
      </c>
      <c r="CO62" s="397">
        <f t="shared" si="72"/>
        <v>0</v>
      </c>
      <c r="CP62" s="397">
        <f t="shared" si="73"/>
        <v>0</v>
      </c>
      <c r="CQ62" s="397">
        <f t="shared" si="74"/>
        <v>0</v>
      </c>
      <c r="CR62" s="397">
        <f t="shared" si="75"/>
        <v>0</v>
      </c>
      <c r="CS62" s="397">
        <f t="shared" si="76"/>
        <v>0</v>
      </c>
      <c r="CT62" s="398" t="e">
        <f t="shared" si="60"/>
        <v>#REF!</v>
      </c>
      <c r="CV62" s="391">
        <v>40806</v>
      </c>
      <c r="CW62" s="399">
        <f>+CW$3-SUM(AU$4:AU62)-0.02</f>
        <v>-1.9073486328541334E-8</v>
      </c>
      <c r="CX62" s="399">
        <f>+CX$3-SUM(AV$4:AV62)</f>
        <v>0</v>
      </c>
      <c r="CY62" s="399">
        <f>+CY$3-SUM(AW$4:AW62)</f>
        <v>0</v>
      </c>
      <c r="CZ62" s="399">
        <f>+CZ$3-SUM(AX$4:AX62)</f>
        <v>9.9999904632568359E-3</v>
      </c>
      <c r="DA62" s="399">
        <f>+DA$3-SUM(AY$4:AY62)</f>
        <v>543907917.16000009</v>
      </c>
      <c r="DB62" s="399">
        <f>+DB$3-SUM(AZ$4:AZ62)</f>
        <v>547472191.47000003</v>
      </c>
      <c r="DC62" s="399" t="e">
        <f>+DC$3-SUM(BA$4:BA62)</f>
        <v>#REF!</v>
      </c>
      <c r="DD62" s="399">
        <f>+DD$3-SUM(BB$4:BB62)</f>
        <v>0</v>
      </c>
      <c r="DE62" s="399">
        <f>+DE$3-SUM(BC$4:BC62)</f>
        <v>112020391.73999999</v>
      </c>
      <c r="DF62" s="399">
        <f>+DF$3-SUM(BD$4:BD62)</f>
        <v>23000000</v>
      </c>
      <c r="DG62" s="399">
        <f>+DG$3-SUM(BE$4:BE62)</f>
        <v>0</v>
      </c>
      <c r="DH62" s="399">
        <f>+DH$3-SUM(BF$4:BF62)</f>
        <v>61041051.780000001</v>
      </c>
      <c r="DI62" s="399">
        <f>+DI$3-SUM(BG$4:BG62)</f>
        <v>56000000</v>
      </c>
      <c r="DJ62" s="399">
        <f>+DJ$3-SUM(BH$4:BH62)</f>
        <v>36902314.299999997</v>
      </c>
      <c r="DK62" s="399">
        <f>+DK$3-SUM(BI$4:BI62)</f>
        <v>141534746.44</v>
      </c>
      <c r="DL62" s="399">
        <f>+DL$3-SUM(BJ$4:BJ62)</f>
        <v>20000000</v>
      </c>
    </row>
    <row r="63" spans="1:116" s="106" customFormat="1">
      <c r="A63" s="391">
        <v>40836</v>
      </c>
      <c r="B63" s="393">
        <v>0</v>
      </c>
      <c r="C63" s="393">
        <v>0</v>
      </c>
      <c r="D63" s="393">
        <v>0</v>
      </c>
      <c r="E63" s="393">
        <v>0</v>
      </c>
      <c r="F63" s="393">
        <v>543907917.16258693</v>
      </c>
      <c r="G63" s="393">
        <v>547472191.47029364</v>
      </c>
      <c r="H63" s="393">
        <v>500000000</v>
      </c>
      <c r="I63" s="393">
        <v>0</v>
      </c>
      <c r="J63" s="393">
        <v>112020391.73598069</v>
      </c>
      <c r="K63" s="393">
        <v>23000000</v>
      </c>
      <c r="L63" s="393">
        <v>0</v>
      </c>
      <c r="M63" s="393">
        <v>61041051.784276903</v>
      </c>
      <c r="N63" s="393">
        <v>56000000</v>
      </c>
      <c r="O63" s="393">
        <v>36902314.302282669</v>
      </c>
      <c r="P63" s="393">
        <v>141534746.44486183</v>
      </c>
      <c r="Q63" s="393">
        <v>20000000</v>
      </c>
      <c r="R63" s="394">
        <f t="shared" si="2"/>
        <v>2041878612.9002829</v>
      </c>
      <c r="S63" s="391">
        <v>40836</v>
      </c>
      <c r="T63" s="395">
        <f t="shared" si="23"/>
        <v>0</v>
      </c>
      <c r="U63" s="395">
        <f t="shared" si="24"/>
        <v>0</v>
      </c>
      <c r="V63" s="395">
        <f t="shared" si="25"/>
        <v>0</v>
      </c>
      <c r="W63" s="395">
        <f t="shared" si="26"/>
        <v>0</v>
      </c>
      <c r="X63" s="395">
        <f t="shared" si="27"/>
        <v>0</v>
      </c>
      <c r="Y63" s="395">
        <f t="shared" si="28"/>
        <v>0</v>
      </c>
      <c r="Z63" s="395">
        <f t="shared" si="29"/>
        <v>0</v>
      </c>
      <c r="AA63" s="395">
        <f t="shared" si="30"/>
        <v>0</v>
      </c>
      <c r="AB63" s="395">
        <f t="shared" si="31"/>
        <v>0</v>
      </c>
      <c r="AC63" s="395">
        <f t="shared" si="32"/>
        <v>0</v>
      </c>
      <c r="AD63" s="395">
        <f t="shared" si="33"/>
        <v>0</v>
      </c>
      <c r="AE63" s="395">
        <f t="shared" si="34"/>
        <v>0</v>
      </c>
      <c r="AF63" s="395">
        <f t="shared" si="35"/>
        <v>0</v>
      </c>
      <c r="AG63" s="395">
        <f t="shared" si="36"/>
        <v>0</v>
      </c>
      <c r="AH63" s="395">
        <f t="shared" si="37"/>
        <v>0</v>
      </c>
      <c r="AI63" s="395">
        <f t="shared" si="38"/>
        <v>0</v>
      </c>
      <c r="AJ63" s="395">
        <f t="shared" si="39"/>
        <v>0</v>
      </c>
      <c r="AK63" s="396"/>
      <c r="AL63" s="391">
        <v>40836</v>
      </c>
      <c r="AM63" s="397">
        <f t="shared" si="40"/>
        <v>1591380108.6328807</v>
      </c>
      <c r="AN63" s="397">
        <f t="shared" si="41"/>
        <v>135020391.73598069</v>
      </c>
      <c r="AO63" s="397">
        <f t="shared" si="42"/>
        <v>117041051.7842769</v>
      </c>
      <c r="AP63" s="397">
        <f t="shared" si="43"/>
        <v>198437060.74714449</v>
      </c>
      <c r="AQ63" s="397">
        <f t="shared" si="4"/>
        <v>2041878612.9002829</v>
      </c>
      <c r="AR63" s="914"/>
      <c r="AT63" s="391">
        <v>40836</v>
      </c>
      <c r="AU63" s="63">
        <v>0</v>
      </c>
      <c r="AV63" s="63">
        <v>0</v>
      </c>
      <c r="AW63" s="63">
        <v>0</v>
      </c>
      <c r="AX63" s="63">
        <v>0</v>
      </c>
      <c r="AY63" s="63">
        <v>0</v>
      </c>
      <c r="AZ63" s="63">
        <v>0</v>
      </c>
      <c r="BA63" s="63">
        <v>0</v>
      </c>
      <c r="BB63" s="63">
        <v>0</v>
      </c>
      <c r="BC63" s="63">
        <v>0</v>
      </c>
      <c r="BD63" s="63">
        <v>0</v>
      </c>
      <c r="BE63" s="63">
        <v>0</v>
      </c>
      <c r="BF63" s="63">
        <v>0</v>
      </c>
      <c r="BG63" s="63">
        <v>0</v>
      </c>
      <c r="BH63" s="63">
        <v>0</v>
      </c>
      <c r="BI63" s="63">
        <v>0</v>
      </c>
      <c r="BJ63" s="63">
        <v>0</v>
      </c>
      <c r="BL63" s="391">
        <v>40836</v>
      </c>
      <c r="BM63" s="397">
        <f t="shared" si="5"/>
        <v>0</v>
      </c>
      <c r="BN63" s="397">
        <f t="shared" si="6"/>
        <v>0</v>
      </c>
      <c r="BO63" s="397">
        <f t="shared" si="7"/>
        <v>0</v>
      </c>
      <c r="BP63" s="397">
        <f t="shared" si="8"/>
        <v>0</v>
      </c>
      <c r="BQ63" s="397">
        <f t="shared" si="9"/>
        <v>0</v>
      </c>
      <c r="BR63" s="397">
        <f t="shared" si="10"/>
        <v>0</v>
      </c>
      <c r="BS63" s="397">
        <f t="shared" si="11"/>
        <v>0</v>
      </c>
      <c r="BT63" s="397">
        <f t="shared" si="12"/>
        <v>0</v>
      </c>
      <c r="BU63" s="397">
        <f t="shared" si="13"/>
        <v>0</v>
      </c>
      <c r="BV63" s="397">
        <f t="shared" si="14"/>
        <v>0</v>
      </c>
      <c r="BW63" s="397">
        <f t="shared" si="15"/>
        <v>0</v>
      </c>
      <c r="BX63" s="397">
        <f t="shared" si="16"/>
        <v>0</v>
      </c>
      <c r="BY63" s="397">
        <f t="shared" si="17"/>
        <v>0</v>
      </c>
      <c r="BZ63" s="397">
        <f t="shared" si="18"/>
        <v>0</v>
      </c>
      <c r="CA63" s="397">
        <f t="shared" si="19"/>
        <v>0</v>
      </c>
      <c r="CB63" s="397">
        <f t="shared" si="20"/>
        <v>0</v>
      </c>
      <c r="CC63" s="391">
        <v>40836</v>
      </c>
      <c r="CD63" s="397">
        <f t="shared" si="61"/>
        <v>0</v>
      </c>
      <c r="CE63" s="397">
        <f t="shared" si="62"/>
        <v>0</v>
      </c>
      <c r="CF63" s="397">
        <f t="shared" si="63"/>
        <v>0</v>
      </c>
      <c r="CG63" s="397">
        <f t="shared" si="64"/>
        <v>0</v>
      </c>
      <c r="CH63" s="397">
        <f t="shared" si="65"/>
        <v>0</v>
      </c>
      <c r="CI63" s="397">
        <f t="shared" si="66"/>
        <v>0</v>
      </c>
      <c r="CJ63" s="397" t="e">
        <f t="shared" si="67"/>
        <v>#REF!</v>
      </c>
      <c r="CK63" s="397">
        <f t="shared" si="68"/>
        <v>0</v>
      </c>
      <c r="CL63" s="397">
        <f t="shared" si="69"/>
        <v>0</v>
      </c>
      <c r="CM63" s="397">
        <f t="shared" si="70"/>
        <v>0</v>
      </c>
      <c r="CN63" s="397">
        <f t="shared" si="71"/>
        <v>0</v>
      </c>
      <c r="CO63" s="397">
        <f t="shared" si="72"/>
        <v>0</v>
      </c>
      <c r="CP63" s="397">
        <f t="shared" si="73"/>
        <v>0</v>
      </c>
      <c r="CQ63" s="397">
        <f t="shared" si="74"/>
        <v>0</v>
      </c>
      <c r="CR63" s="397">
        <f t="shared" si="75"/>
        <v>0</v>
      </c>
      <c r="CS63" s="397">
        <f t="shared" si="76"/>
        <v>0</v>
      </c>
      <c r="CT63" s="398" t="e">
        <f t="shared" si="60"/>
        <v>#REF!</v>
      </c>
      <c r="CV63" s="391">
        <v>40836</v>
      </c>
      <c r="CW63" s="399">
        <f>+CW$3-SUM(AU$4:AU63)-0.02</f>
        <v>-1.9073486328541334E-8</v>
      </c>
      <c r="CX63" s="399">
        <f>+CX$3-SUM(AV$4:AV63)</f>
        <v>0</v>
      </c>
      <c r="CY63" s="399">
        <f>+CY$3-SUM(AW$4:AW63)</f>
        <v>0</v>
      </c>
      <c r="CZ63" s="399">
        <f>+CZ$3-SUM(AX$4:AX63)</f>
        <v>9.9999904632568359E-3</v>
      </c>
      <c r="DA63" s="399">
        <f>+DA$3-SUM(AY$4:AY63)</f>
        <v>543907917.16000009</v>
      </c>
      <c r="DB63" s="399">
        <f>+DB$3-SUM(AZ$4:AZ63)</f>
        <v>547472191.47000003</v>
      </c>
      <c r="DC63" s="399" t="e">
        <f>+DC$3-SUM(BA$4:BA63)</f>
        <v>#REF!</v>
      </c>
      <c r="DD63" s="399">
        <f>+DD$3-SUM(BB$4:BB63)</f>
        <v>0</v>
      </c>
      <c r="DE63" s="399">
        <f>+DE$3-SUM(BC$4:BC63)</f>
        <v>112020391.73999999</v>
      </c>
      <c r="DF63" s="399">
        <f>+DF$3-SUM(BD$4:BD63)</f>
        <v>23000000</v>
      </c>
      <c r="DG63" s="399">
        <f>+DG$3-SUM(BE$4:BE63)</f>
        <v>0</v>
      </c>
      <c r="DH63" s="399">
        <f>+DH$3-SUM(BF$4:BF63)</f>
        <v>61041051.780000001</v>
      </c>
      <c r="DI63" s="399">
        <f>+DI$3-SUM(BG$4:BG63)</f>
        <v>56000000</v>
      </c>
      <c r="DJ63" s="399">
        <f>+DJ$3-SUM(BH$4:BH63)</f>
        <v>36902314.299999997</v>
      </c>
      <c r="DK63" s="399">
        <f>+DK$3-SUM(BI$4:BI63)</f>
        <v>141534746.44</v>
      </c>
      <c r="DL63" s="399">
        <f>+DL$3-SUM(BJ$4:BJ63)</f>
        <v>20000000</v>
      </c>
    </row>
    <row r="64" spans="1:116" s="106" customFormat="1">
      <c r="A64" s="391">
        <v>40868</v>
      </c>
      <c r="B64" s="72">
        <v>0</v>
      </c>
      <c r="C64" s="72">
        <v>0</v>
      </c>
      <c r="D64" s="72">
        <v>0</v>
      </c>
      <c r="E64" s="72">
        <v>0</v>
      </c>
      <c r="F64" s="72">
        <v>447582604.18715525</v>
      </c>
      <c r="G64" s="393">
        <v>547472191.47029364</v>
      </c>
      <c r="H64" s="393">
        <v>500000000</v>
      </c>
      <c r="I64" s="72">
        <v>0</v>
      </c>
      <c r="J64" s="72">
        <v>92181740.82997945</v>
      </c>
      <c r="K64" s="72">
        <v>18926732.947752502</v>
      </c>
      <c r="L64" s="72">
        <v>0</v>
      </c>
      <c r="M64" s="72">
        <v>50230768.955258273</v>
      </c>
      <c r="N64" s="72">
        <v>46082480.220614791</v>
      </c>
      <c r="O64" s="72">
        <v>30366967.30231877</v>
      </c>
      <c r="P64" s="72">
        <v>116469145.59955488</v>
      </c>
      <c r="Q64" s="72">
        <v>16458028.650219567</v>
      </c>
      <c r="R64" s="394">
        <f t="shared" si="2"/>
        <v>1865770660.1631472</v>
      </c>
      <c r="S64" s="588">
        <v>40868</v>
      </c>
      <c r="T64" s="589">
        <f t="shared" si="23"/>
        <v>0</v>
      </c>
      <c r="U64" s="589">
        <f t="shared" si="24"/>
        <v>0</v>
      </c>
      <c r="V64" s="589">
        <f t="shared" si="25"/>
        <v>0</v>
      </c>
      <c r="W64" s="589">
        <f t="shared" si="26"/>
        <v>0</v>
      </c>
      <c r="X64" s="589">
        <f t="shared" si="27"/>
        <v>96325312.980000004</v>
      </c>
      <c r="Y64" s="589">
        <f t="shared" si="28"/>
        <v>0</v>
      </c>
      <c r="Z64" s="589">
        <f t="shared" si="29"/>
        <v>0</v>
      </c>
      <c r="AA64" s="589">
        <f t="shared" si="30"/>
        <v>0</v>
      </c>
      <c r="AB64" s="589">
        <f t="shared" si="31"/>
        <v>19838650.91</v>
      </c>
      <c r="AC64" s="589">
        <f t="shared" si="32"/>
        <v>4073267.05</v>
      </c>
      <c r="AD64" s="589">
        <f t="shared" si="33"/>
        <v>0</v>
      </c>
      <c r="AE64" s="589">
        <f t="shared" si="34"/>
        <v>10810282.83</v>
      </c>
      <c r="AF64" s="589">
        <f t="shared" si="35"/>
        <v>9917519.7799999993</v>
      </c>
      <c r="AG64" s="589">
        <f t="shared" si="36"/>
        <v>6535347</v>
      </c>
      <c r="AH64" s="589">
        <f t="shared" si="37"/>
        <v>25065600.850000001</v>
      </c>
      <c r="AI64" s="589">
        <f t="shared" si="38"/>
        <v>3541971.35</v>
      </c>
      <c r="AJ64" s="589">
        <f>+ROUND(SUM(T64:AI64),2)</f>
        <v>176107952.75</v>
      </c>
      <c r="AK64" s="396"/>
      <c r="AL64" s="391">
        <v>40868</v>
      </c>
      <c r="AM64" s="397">
        <f t="shared" si="40"/>
        <v>1495054795.6574488</v>
      </c>
      <c r="AN64" s="397">
        <f t="shared" si="41"/>
        <v>111108473.77773196</v>
      </c>
      <c r="AO64" s="397">
        <f t="shared" si="42"/>
        <v>96313249.175873071</v>
      </c>
      <c r="AP64" s="397">
        <f t="shared" si="43"/>
        <v>163294141.55209321</v>
      </c>
      <c r="AQ64" s="397">
        <f t="shared" si="4"/>
        <v>1865770660.163147</v>
      </c>
      <c r="AR64" s="914"/>
      <c r="AT64" s="391">
        <v>40868</v>
      </c>
      <c r="AU64" s="63">
        <v>0</v>
      </c>
      <c r="AV64" s="63">
        <v>0</v>
      </c>
      <c r="AW64" s="63">
        <v>0</v>
      </c>
      <c r="AX64" s="63">
        <v>0</v>
      </c>
      <c r="AY64" s="85">
        <v>96325312.980000004</v>
      </c>
      <c r="AZ64" s="63">
        <v>0</v>
      </c>
      <c r="BA64" s="63">
        <v>0</v>
      </c>
      <c r="BB64" s="63">
        <v>0</v>
      </c>
      <c r="BC64" s="85">
        <v>19838650.91</v>
      </c>
      <c r="BD64" s="85">
        <v>4073267.05</v>
      </c>
      <c r="BE64" s="63">
        <v>0</v>
      </c>
      <c r="BF64" s="85">
        <v>10810282.83</v>
      </c>
      <c r="BG64" s="85">
        <v>9917519.7799999993</v>
      </c>
      <c r="BH64" s="85">
        <v>6535347</v>
      </c>
      <c r="BI64" s="85">
        <v>26065600.850000001</v>
      </c>
      <c r="BJ64" s="85">
        <v>3541971.35</v>
      </c>
      <c r="BL64" s="391">
        <v>40868</v>
      </c>
      <c r="BM64" s="397">
        <f t="shared" si="5"/>
        <v>0</v>
      </c>
      <c r="BN64" s="397">
        <f t="shared" si="6"/>
        <v>0</v>
      </c>
      <c r="BO64" s="397">
        <f t="shared" si="7"/>
        <v>0</v>
      </c>
      <c r="BP64" s="397">
        <f t="shared" si="8"/>
        <v>0</v>
      </c>
      <c r="BQ64" s="397">
        <f t="shared" si="9"/>
        <v>0</v>
      </c>
      <c r="BR64" s="397">
        <f t="shared" si="10"/>
        <v>0</v>
      </c>
      <c r="BS64" s="397">
        <f t="shared" si="11"/>
        <v>0</v>
      </c>
      <c r="BT64" s="397">
        <f t="shared" si="12"/>
        <v>0</v>
      </c>
      <c r="BU64" s="397">
        <f t="shared" si="13"/>
        <v>0</v>
      </c>
      <c r="BV64" s="397">
        <f t="shared" si="14"/>
        <v>0</v>
      </c>
      <c r="BW64" s="397">
        <f t="shared" si="15"/>
        <v>0</v>
      </c>
      <c r="BX64" s="397">
        <f t="shared" si="16"/>
        <v>0</v>
      </c>
      <c r="BY64" s="397">
        <f t="shared" si="17"/>
        <v>0</v>
      </c>
      <c r="BZ64" s="397">
        <f t="shared" si="18"/>
        <v>0</v>
      </c>
      <c r="CA64" s="397">
        <f t="shared" si="19"/>
        <v>-1000000</v>
      </c>
      <c r="CB64" s="397">
        <f t="shared" si="20"/>
        <v>0</v>
      </c>
      <c r="CC64" s="391">
        <v>40868</v>
      </c>
      <c r="CD64" s="397">
        <f t="shared" si="61"/>
        <v>0</v>
      </c>
      <c r="CE64" s="397">
        <f t="shared" si="62"/>
        <v>0</v>
      </c>
      <c r="CF64" s="397">
        <f t="shared" si="63"/>
        <v>0</v>
      </c>
      <c r="CG64" s="397">
        <f t="shared" si="64"/>
        <v>0</v>
      </c>
      <c r="CH64" s="397">
        <f t="shared" si="65"/>
        <v>0</v>
      </c>
      <c r="CI64" s="397">
        <f t="shared" si="66"/>
        <v>0</v>
      </c>
      <c r="CJ64" s="397" t="e">
        <f t="shared" si="67"/>
        <v>#REF!</v>
      </c>
      <c r="CK64" s="397">
        <f t="shared" si="68"/>
        <v>0</v>
      </c>
      <c r="CL64" s="397">
        <f t="shared" si="69"/>
        <v>0</v>
      </c>
      <c r="CM64" s="397">
        <f t="shared" si="70"/>
        <v>0</v>
      </c>
      <c r="CN64" s="397">
        <f t="shared" si="71"/>
        <v>0</v>
      </c>
      <c r="CO64" s="397">
        <f t="shared" si="72"/>
        <v>0</v>
      </c>
      <c r="CP64" s="397">
        <f t="shared" si="73"/>
        <v>0</v>
      </c>
      <c r="CQ64" s="397">
        <f t="shared" si="74"/>
        <v>0</v>
      </c>
      <c r="CR64" s="397">
        <f t="shared" si="75"/>
        <v>-1000000</v>
      </c>
      <c r="CS64" s="397">
        <f t="shared" si="76"/>
        <v>0</v>
      </c>
      <c r="CT64" s="398" t="e">
        <f t="shared" si="60"/>
        <v>#REF!</v>
      </c>
      <c r="CV64" s="391">
        <v>40868</v>
      </c>
      <c r="CW64" s="399">
        <f>+CW$3-SUM(AU$4:AU64)-0.02</f>
        <v>-1.9073486328541334E-8</v>
      </c>
      <c r="CX64" s="399">
        <f>+CX$3-SUM(AV$4:AV64)</f>
        <v>0</v>
      </c>
      <c r="CY64" s="399">
        <f>+CY$3-SUM(AW$4:AW64)</f>
        <v>0</v>
      </c>
      <c r="CZ64" s="399">
        <f>+CZ$3-SUM(AX$4:AX64)</f>
        <v>9.9999904632568359E-3</v>
      </c>
      <c r="DA64" s="909">
        <f>+DA$3-SUM(AY$4:AY64)-447582604.18</f>
        <v>0</v>
      </c>
      <c r="DB64" s="399">
        <f>+DB$3-SUM(AZ$4:AZ64)</f>
        <v>547472191.47000003</v>
      </c>
      <c r="DC64" s="399" t="e">
        <f>+DC$3-SUM(BA$4:BA64)</f>
        <v>#REF!</v>
      </c>
      <c r="DD64" s="399">
        <f>+DD$3-SUM(BB$4:BB64)</f>
        <v>0</v>
      </c>
      <c r="DE64" s="909">
        <f>+DE$3-SUM(BC$4:BC64)-92181740.83</f>
        <v>0</v>
      </c>
      <c r="DF64" s="909">
        <f>+DF$3-SUM(BD$4:BD64)-18926732.95</f>
        <v>0</v>
      </c>
      <c r="DG64" s="909">
        <f>+DG$3-SUM(BE$4:BE64)</f>
        <v>0</v>
      </c>
      <c r="DH64" s="909">
        <f>+DH$3-SUM(BF$4:BF64)-50230768.95</f>
        <v>0</v>
      </c>
      <c r="DI64" s="909">
        <f>+DI$3-SUM(BG$4:BG64)-46082480.22</f>
        <v>0</v>
      </c>
      <c r="DJ64" s="909">
        <f>+DJ$3-SUM(BH$4:BH64)-30366967.3</f>
        <v>0</v>
      </c>
      <c r="DK64" s="909">
        <f>+DK$3-SUM(BI$4:BI64)-115469145.59</f>
        <v>0</v>
      </c>
      <c r="DL64" s="909">
        <f>+DL$3-SUM(BJ$4:BJ64)-16458028.65</f>
        <v>0</v>
      </c>
    </row>
    <row r="65" spans="1:116" s="106" customFormat="1">
      <c r="A65" s="391">
        <v>40897</v>
      </c>
      <c r="B65" s="393">
        <v>0</v>
      </c>
      <c r="C65" s="393">
        <v>0</v>
      </c>
      <c r="D65" s="393">
        <v>0</v>
      </c>
      <c r="E65" s="393">
        <v>0</v>
      </c>
      <c r="F65" s="393">
        <v>447582604.18715525</v>
      </c>
      <c r="G65" s="393">
        <v>547472191.47029364</v>
      </c>
      <c r="H65" s="393">
        <v>500000000</v>
      </c>
      <c r="I65" s="393">
        <v>0</v>
      </c>
      <c r="J65" s="393">
        <v>92181740.82997945</v>
      </c>
      <c r="K65" s="393">
        <v>18926732.947752502</v>
      </c>
      <c r="L65" s="393">
        <v>0</v>
      </c>
      <c r="M65" s="393">
        <v>50230768.955258273</v>
      </c>
      <c r="N65" s="393">
        <v>46082480.220614791</v>
      </c>
      <c r="O65" s="393">
        <v>30366967.30231877</v>
      </c>
      <c r="P65" s="393">
        <v>116469145.59955488</v>
      </c>
      <c r="Q65" s="393">
        <v>16458028.650219567</v>
      </c>
      <c r="R65" s="394">
        <f t="shared" si="2"/>
        <v>1865770660.1631472</v>
      </c>
      <c r="S65" s="391">
        <v>40897</v>
      </c>
      <c r="T65" s="395">
        <f t="shared" si="23"/>
        <v>0</v>
      </c>
      <c r="U65" s="395">
        <f t="shared" si="24"/>
        <v>0</v>
      </c>
      <c r="V65" s="395">
        <f t="shared" si="25"/>
        <v>0</v>
      </c>
      <c r="W65" s="395">
        <f t="shared" si="26"/>
        <v>0</v>
      </c>
      <c r="X65" s="395">
        <f t="shared" si="27"/>
        <v>0</v>
      </c>
      <c r="Y65" s="395">
        <f t="shared" si="28"/>
        <v>0</v>
      </c>
      <c r="Z65" s="395">
        <f t="shared" si="29"/>
        <v>0</v>
      </c>
      <c r="AA65" s="395">
        <f t="shared" si="30"/>
        <v>0</v>
      </c>
      <c r="AB65" s="395">
        <f t="shared" si="31"/>
        <v>0</v>
      </c>
      <c r="AC65" s="395">
        <f t="shared" si="32"/>
        <v>0</v>
      </c>
      <c r="AD65" s="395">
        <f t="shared" si="33"/>
        <v>0</v>
      </c>
      <c r="AE65" s="395">
        <f t="shared" si="34"/>
        <v>0</v>
      </c>
      <c r="AF65" s="395">
        <f t="shared" si="35"/>
        <v>0</v>
      </c>
      <c r="AG65" s="395">
        <f t="shared" si="36"/>
        <v>0</v>
      </c>
      <c r="AH65" s="395">
        <f t="shared" si="37"/>
        <v>0</v>
      </c>
      <c r="AI65" s="395">
        <f t="shared" si="38"/>
        <v>0</v>
      </c>
      <c r="AJ65" s="395">
        <f t="shared" si="39"/>
        <v>0</v>
      </c>
      <c r="AK65" s="396"/>
      <c r="AL65" s="391">
        <v>40897</v>
      </c>
      <c r="AM65" s="397">
        <f t="shared" si="40"/>
        <v>1495054795.6574488</v>
      </c>
      <c r="AN65" s="397">
        <f t="shared" si="41"/>
        <v>111108473.77773196</v>
      </c>
      <c r="AO65" s="397">
        <f t="shared" si="42"/>
        <v>96313249.175873071</v>
      </c>
      <c r="AP65" s="397">
        <f t="shared" si="43"/>
        <v>163294141.55209321</v>
      </c>
      <c r="AQ65" s="397">
        <f t="shared" si="4"/>
        <v>1865770660.163147</v>
      </c>
      <c r="AR65" s="914"/>
      <c r="AT65" s="391">
        <v>40897</v>
      </c>
      <c r="AU65" s="63">
        <v>0</v>
      </c>
      <c r="AV65" s="63">
        <v>0</v>
      </c>
      <c r="AW65" s="63">
        <v>0</v>
      </c>
      <c r="AX65" s="63">
        <v>0</v>
      </c>
      <c r="AY65" s="63">
        <v>0</v>
      </c>
      <c r="AZ65" s="63">
        <v>0</v>
      </c>
      <c r="BA65" s="63">
        <v>0</v>
      </c>
      <c r="BB65" s="63">
        <v>0</v>
      </c>
      <c r="BC65" s="63">
        <v>0</v>
      </c>
      <c r="BD65" s="63">
        <v>0</v>
      </c>
      <c r="BE65" s="63">
        <v>0</v>
      </c>
      <c r="BF65" s="63">
        <v>0</v>
      </c>
      <c r="BG65" s="63">
        <v>0</v>
      </c>
      <c r="BH65" s="63">
        <v>0</v>
      </c>
      <c r="BI65" s="63">
        <v>0</v>
      </c>
      <c r="BJ65" s="63">
        <v>0</v>
      </c>
      <c r="BL65" s="391">
        <v>40897</v>
      </c>
      <c r="BM65" s="397">
        <f t="shared" si="5"/>
        <v>0</v>
      </c>
      <c r="BN65" s="397">
        <f t="shared" si="6"/>
        <v>0</v>
      </c>
      <c r="BO65" s="397">
        <f t="shared" si="7"/>
        <v>0</v>
      </c>
      <c r="BP65" s="397">
        <f t="shared" si="8"/>
        <v>0</v>
      </c>
      <c r="BQ65" s="397">
        <f t="shared" si="9"/>
        <v>0</v>
      </c>
      <c r="BR65" s="397">
        <f t="shared" si="10"/>
        <v>0</v>
      </c>
      <c r="BS65" s="397">
        <f t="shared" si="11"/>
        <v>0</v>
      </c>
      <c r="BT65" s="397">
        <f t="shared" si="12"/>
        <v>0</v>
      </c>
      <c r="BU65" s="397">
        <f t="shared" si="13"/>
        <v>0</v>
      </c>
      <c r="BV65" s="397">
        <f t="shared" si="14"/>
        <v>0</v>
      </c>
      <c r="BW65" s="397">
        <f t="shared" si="15"/>
        <v>0</v>
      </c>
      <c r="BX65" s="397">
        <f t="shared" si="16"/>
        <v>0</v>
      </c>
      <c r="BY65" s="397">
        <f t="shared" si="17"/>
        <v>0</v>
      </c>
      <c r="BZ65" s="397">
        <f t="shared" si="18"/>
        <v>0</v>
      </c>
      <c r="CA65" s="397">
        <f t="shared" si="19"/>
        <v>0</v>
      </c>
      <c r="CB65" s="397">
        <f t="shared" si="20"/>
        <v>0</v>
      </c>
      <c r="CC65" s="391">
        <v>40897</v>
      </c>
      <c r="CD65" s="397">
        <f t="shared" si="61"/>
        <v>0</v>
      </c>
      <c r="CE65" s="397">
        <f t="shared" si="62"/>
        <v>0</v>
      </c>
      <c r="CF65" s="397">
        <f t="shared" si="63"/>
        <v>0</v>
      </c>
      <c r="CG65" s="397">
        <f t="shared" si="64"/>
        <v>0</v>
      </c>
      <c r="CH65" s="397">
        <f t="shared" si="65"/>
        <v>0</v>
      </c>
      <c r="CI65" s="397">
        <f t="shared" si="66"/>
        <v>0</v>
      </c>
      <c r="CJ65" s="397" t="e">
        <f t="shared" si="67"/>
        <v>#REF!</v>
      </c>
      <c r="CK65" s="397">
        <f t="shared" si="68"/>
        <v>0</v>
      </c>
      <c r="CL65" s="397">
        <f t="shared" si="69"/>
        <v>0</v>
      </c>
      <c r="CM65" s="397">
        <f t="shared" si="70"/>
        <v>0</v>
      </c>
      <c r="CN65" s="397">
        <f t="shared" si="71"/>
        <v>0</v>
      </c>
      <c r="CO65" s="397">
        <f t="shared" si="72"/>
        <v>0</v>
      </c>
      <c r="CP65" s="397">
        <f t="shared" si="73"/>
        <v>0</v>
      </c>
      <c r="CQ65" s="397">
        <f t="shared" si="74"/>
        <v>0</v>
      </c>
      <c r="CR65" s="397">
        <f t="shared" si="75"/>
        <v>-1000000</v>
      </c>
      <c r="CS65" s="397">
        <f t="shared" si="76"/>
        <v>0</v>
      </c>
      <c r="CT65" s="398" t="e">
        <f t="shared" si="60"/>
        <v>#REF!</v>
      </c>
      <c r="CV65" s="391">
        <v>40897</v>
      </c>
      <c r="CW65" s="399">
        <f>+CW$3-SUM(AU$4:AU65)-0.02</f>
        <v>-1.9073486328541334E-8</v>
      </c>
      <c r="CX65" s="399">
        <f>+CX$3-SUM(AV$4:AV65)</f>
        <v>0</v>
      </c>
      <c r="CY65" s="399">
        <f>+CY$3-SUM(AW$4:AW65)</f>
        <v>0</v>
      </c>
      <c r="CZ65" s="399">
        <f>+CZ$3-SUM(AX$4:AX65)</f>
        <v>9.9999904632568359E-3</v>
      </c>
      <c r="DA65" s="909">
        <f>+DA$3-SUM(AY$4:AY65)-447582604.18</f>
        <v>0</v>
      </c>
      <c r="DB65" s="399">
        <f>+DB$3-SUM(AZ$4:AZ65)</f>
        <v>547472191.47000003</v>
      </c>
      <c r="DC65" s="399" t="e">
        <f>+DC$3-SUM(BA$4:BA65)</f>
        <v>#REF!</v>
      </c>
      <c r="DD65" s="399">
        <f>+DD$3-SUM(BB$4:BB65)</f>
        <v>0</v>
      </c>
      <c r="DE65" s="909">
        <f>+DE$3-SUM(BC$4:BC65)-92181740.83</f>
        <v>0</v>
      </c>
      <c r="DF65" s="909">
        <f>+DF$3-SUM(BD$4:BD65)-18926732.95</f>
        <v>0</v>
      </c>
      <c r="DG65" s="909">
        <f>+DG$3-SUM(BE$4:BE65)</f>
        <v>0</v>
      </c>
      <c r="DH65" s="909">
        <f>+DH$3-SUM(BF$4:BF65)-50230768.95</f>
        <v>0</v>
      </c>
      <c r="DI65" s="909">
        <f>+DI$3-SUM(BG$4:BG65)-46082480.22</f>
        <v>0</v>
      </c>
      <c r="DJ65" s="909">
        <f>+DJ$3-SUM(BH$4:BH65)-30366967.3</f>
        <v>0</v>
      </c>
      <c r="DK65" s="909">
        <f>+DK$3-SUM(BI$4:BI65)-115469145.59</f>
        <v>0</v>
      </c>
      <c r="DL65" s="909">
        <f>+DL$3-SUM(BJ$4:BJ65)-16458028.65</f>
        <v>0</v>
      </c>
    </row>
    <row r="66" spans="1:116" s="106" customFormat="1">
      <c r="A66" s="391">
        <v>40928</v>
      </c>
      <c r="B66" s="393">
        <v>0</v>
      </c>
      <c r="C66" s="393">
        <v>0</v>
      </c>
      <c r="D66" s="393">
        <v>0</v>
      </c>
      <c r="E66" s="393">
        <v>0</v>
      </c>
      <c r="F66" s="393">
        <v>447582604.18715525</v>
      </c>
      <c r="G66" s="393">
        <v>547472191.47029364</v>
      </c>
      <c r="H66" s="393">
        <v>500000000</v>
      </c>
      <c r="I66" s="393">
        <v>0</v>
      </c>
      <c r="J66" s="393">
        <v>92181740.82997945</v>
      </c>
      <c r="K66" s="393">
        <v>18926732.947752502</v>
      </c>
      <c r="L66" s="393">
        <v>0</v>
      </c>
      <c r="M66" s="393">
        <v>50230768.955258273</v>
      </c>
      <c r="N66" s="393">
        <v>46082480.220614791</v>
      </c>
      <c r="O66" s="393">
        <v>30366967.30231877</v>
      </c>
      <c r="P66" s="393">
        <v>116469145.59955488</v>
      </c>
      <c r="Q66" s="393">
        <v>16458028.650219567</v>
      </c>
      <c r="R66" s="394">
        <f t="shared" si="2"/>
        <v>1865770660.1631472</v>
      </c>
      <c r="S66" s="391">
        <v>40928</v>
      </c>
      <c r="T66" s="395">
        <f t="shared" si="23"/>
        <v>0</v>
      </c>
      <c r="U66" s="395">
        <f t="shared" si="24"/>
        <v>0</v>
      </c>
      <c r="V66" s="395">
        <f t="shared" si="25"/>
        <v>0</v>
      </c>
      <c r="W66" s="395">
        <f t="shared" si="26"/>
        <v>0</v>
      </c>
      <c r="X66" s="395">
        <f t="shared" si="27"/>
        <v>0</v>
      </c>
      <c r="Y66" s="395">
        <f t="shared" si="28"/>
        <v>0</v>
      </c>
      <c r="Z66" s="395">
        <f t="shared" si="29"/>
        <v>0</v>
      </c>
      <c r="AA66" s="395">
        <f t="shared" si="30"/>
        <v>0</v>
      </c>
      <c r="AB66" s="395">
        <f t="shared" si="31"/>
        <v>0</v>
      </c>
      <c r="AC66" s="395">
        <f t="shared" si="32"/>
        <v>0</v>
      </c>
      <c r="AD66" s="395">
        <f t="shared" si="33"/>
        <v>0</v>
      </c>
      <c r="AE66" s="395">
        <f t="shared" si="34"/>
        <v>0</v>
      </c>
      <c r="AF66" s="395">
        <f t="shared" si="35"/>
        <v>0</v>
      </c>
      <c r="AG66" s="395">
        <f t="shared" si="36"/>
        <v>0</v>
      </c>
      <c r="AH66" s="395">
        <f t="shared" si="37"/>
        <v>0</v>
      </c>
      <c r="AI66" s="395">
        <f t="shared" si="38"/>
        <v>0</v>
      </c>
      <c r="AJ66" s="395">
        <f t="shared" si="39"/>
        <v>0</v>
      </c>
      <c r="AK66" s="396"/>
      <c r="AL66" s="391">
        <v>40928</v>
      </c>
      <c r="AM66" s="397">
        <f t="shared" si="40"/>
        <v>1495054795.6574488</v>
      </c>
      <c r="AN66" s="397">
        <f t="shared" si="41"/>
        <v>111108473.77773196</v>
      </c>
      <c r="AO66" s="397">
        <f t="shared" si="42"/>
        <v>96313249.175873071</v>
      </c>
      <c r="AP66" s="397">
        <f t="shared" si="43"/>
        <v>163294141.55209321</v>
      </c>
      <c r="AQ66" s="397">
        <f t="shared" si="4"/>
        <v>1865770660.163147</v>
      </c>
      <c r="AR66" s="914"/>
      <c r="AT66" s="391">
        <v>40928</v>
      </c>
      <c r="AU66" s="63">
        <v>0</v>
      </c>
      <c r="AV66" s="63">
        <v>0</v>
      </c>
      <c r="AW66" s="63">
        <v>0</v>
      </c>
      <c r="AX66" s="63">
        <v>0</v>
      </c>
      <c r="AY66" s="63">
        <v>0</v>
      </c>
      <c r="AZ66" s="63">
        <v>0</v>
      </c>
      <c r="BA66" s="63">
        <v>0</v>
      </c>
      <c r="BB66" s="63">
        <v>0</v>
      </c>
      <c r="BC66" s="63">
        <v>0</v>
      </c>
      <c r="BD66" s="63">
        <v>0</v>
      </c>
      <c r="BE66" s="63">
        <v>0</v>
      </c>
      <c r="BF66" s="63">
        <v>0</v>
      </c>
      <c r="BG66" s="63">
        <v>0</v>
      </c>
      <c r="BH66" s="63">
        <v>0</v>
      </c>
      <c r="BI66" s="63">
        <v>0</v>
      </c>
      <c r="BJ66" s="63">
        <v>0</v>
      </c>
      <c r="BL66" s="391">
        <v>40928</v>
      </c>
      <c r="BM66" s="397">
        <f t="shared" si="5"/>
        <v>0</v>
      </c>
      <c r="BN66" s="397">
        <f t="shared" si="6"/>
        <v>0</v>
      </c>
      <c r="BO66" s="397">
        <f t="shared" si="7"/>
        <v>0</v>
      </c>
      <c r="BP66" s="397">
        <f t="shared" si="8"/>
        <v>0</v>
      </c>
      <c r="BQ66" s="397">
        <f t="shared" si="9"/>
        <v>0</v>
      </c>
      <c r="BR66" s="397">
        <f t="shared" si="10"/>
        <v>0</v>
      </c>
      <c r="BS66" s="397">
        <f t="shared" si="11"/>
        <v>0</v>
      </c>
      <c r="BT66" s="397">
        <f t="shared" si="12"/>
        <v>0</v>
      </c>
      <c r="BU66" s="397">
        <f t="shared" si="13"/>
        <v>0</v>
      </c>
      <c r="BV66" s="397">
        <f t="shared" si="14"/>
        <v>0</v>
      </c>
      <c r="BW66" s="397">
        <f t="shared" si="15"/>
        <v>0</v>
      </c>
      <c r="BX66" s="397">
        <f t="shared" si="16"/>
        <v>0</v>
      </c>
      <c r="BY66" s="397">
        <f t="shared" si="17"/>
        <v>0</v>
      </c>
      <c r="BZ66" s="397">
        <f t="shared" si="18"/>
        <v>0</v>
      </c>
      <c r="CA66" s="397">
        <f t="shared" si="19"/>
        <v>0</v>
      </c>
      <c r="CB66" s="397">
        <f t="shared" si="20"/>
        <v>0</v>
      </c>
      <c r="CC66" s="391">
        <v>40928</v>
      </c>
      <c r="CD66" s="397">
        <f t="shared" si="61"/>
        <v>0</v>
      </c>
      <c r="CE66" s="397">
        <f t="shared" si="62"/>
        <v>0</v>
      </c>
      <c r="CF66" s="397">
        <f t="shared" si="63"/>
        <v>0</v>
      </c>
      <c r="CG66" s="397">
        <f t="shared" si="64"/>
        <v>0</v>
      </c>
      <c r="CH66" s="397">
        <f t="shared" si="65"/>
        <v>0</v>
      </c>
      <c r="CI66" s="397">
        <f t="shared" si="66"/>
        <v>0</v>
      </c>
      <c r="CJ66" s="397" t="e">
        <f t="shared" si="67"/>
        <v>#REF!</v>
      </c>
      <c r="CK66" s="397">
        <f t="shared" si="68"/>
        <v>0</v>
      </c>
      <c r="CL66" s="397">
        <f t="shared" si="69"/>
        <v>0</v>
      </c>
      <c r="CM66" s="397">
        <f t="shared" si="70"/>
        <v>0</v>
      </c>
      <c r="CN66" s="397">
        <f t="shared" si="71"/>
        <v>0</v>
      </c>
      <c r="CO66" s="397">
        <f t="shared" si="72"/>
        <v>0</v>
      </c>
      <c r="CP66" s="397">
        <f t="shared" si="73"/>
        <v>0</v>
      </c>
      <c r="CQ66" s="397">
        <f t="shared" si="74"/>
        <v>0</v>
      </c>
      <c r="CR66" s="397">
        <f t="shared" si="75"/>
        <v>-1000000</v>
      </c>
      <c r="CS66" s="397">
        <f t="shared" si="76"/>
        <v>0</v>
      </c>
      <c r="CT66" s="398" t="e">
        <f t="shared" si="60"/>
        <v>#REF!</v>
      </c>
      <c r="CV66" s="391">
        <v>40928</v>
      </c>
      <c r="CW66" s="399">
        <f>+CW$3-SUM(AU$4:AU66)-0.02</f>
        <v>-1.9073486328541334E-8</v>
      </c>
      <c r="CX66" s="399">
        <f>+CX$3-SUM(AV$4:AV66)</f>
        <v>0</v>
      </c>
      <c r="CY66" s="399">
        <f>+CY$3-SUM(AW$4:AW66)</f>
        <v>0</v>
      </c>
      <c r="CZ66" s="399">
        <f>+CZ$3-SUM(AX$4:AX66)</f>
        <v>9.9999904632568359E-3</v>
      </c>
      <c r="DA66" s="909">
        <f>+DA$3-SUM(AY$4:AY66)-447582604.18</f>
        <v>0</v>
      </c>
      <c r="DB66" s="399">
        <f>+DB$3-SUM(AZ$4:AZ66)</f>
        <v>547472191.47000003</v>
      </c>
      <c r="DC66" s="399" t="e">
        <f>+DC$3-SUM(BA$4:BA66)</f>
        <v>#REF!</v>
      </c>
      <c r="DD66" s="399">
        <f>+DD$3-SUM(BB$4:BB66)</f>
        <v>0</v>
      </c>
      <c r="DE66" s="909">
        <f>+DE$3-SUM(BC$4:BC66)-92181740.83</f>
        <v>0</v>
      </c>
      <c r="DF66" s="909">
        <f>+DF$3-SUM(BD$4:BD66)-18926732.95</f>
        <v>0</v>
      </c>
      <c r="DG66" s="909">
        <f>+DG$3-SUM(BE$4:BE66)</f>
        <v>0</v>
      </c>
      <c r="DH66" s="909">
        <f>+DH$3-SUM(BF$4:BF66)-50230768.95</f>
        <v>0</v>
      </c>
      <c r="DI66" s="909">
        <f>+DI$3-SUM(BG$4:BG66)-46082480.22</f>
        <v>0</v>
      </c>
      <c r="DJ66" s="909">
        <f>+DJ$3-SUM(BH$4:BH66)-30366967.3</f>
        <v>0</v>
      </c>
      <c r="DK66" s="909">
        <f>+DK$3-SUM(BI$4:BI66)-115469145.59</f>
        <v>0</v>
      </c>
      <c r="DL66" s="909">
        <f>+DL$3-SUM(BJ$4:BJ66)-16458028.65</f>
        <v>0</v>
      </c>
    </row>
    <row r="67" spans="1:116" s="106" customFormat="1">
      <c r="A67" s="391">
        <v>40960</v>
      </c>
      <c r="B67" s="393">
        <v>0</v>
      </c>
      <c r="C67" s="393">
        <v>0</v>
      </c>
      <c r="D67" s="393">
        <v>0</v>
      </c>
      <c r="E67" s="393">
        <v>0</v>
      </c>
      <c r="F67" s="393">
        <v>0</v>
      </c>
      <c r="G67" s="393">
        <v>442594118.56565356</v>
      </c>
      <c r="H67" s="393">
        <v>500000000</v>
      </c>
      <c r="I67" s="393">
        <v>0</v>
      </c>
      <c r="J67" s="393">
        <v>0</v>
      </c>
      <c r="K67" s="393">
        <v>0</v>
      </c>
      <c r="L67" s="393">
        <v>0</v>
      </c>
      <c r="M67" s="393">
        <v>0</v>
      </c>
      <c r="N67" s="393">
        <v>0</v>
      </c>
      <c r="O67" s="393">
        <v>0</v>
      </c>
      <c r="P67" s="393">
        <v>0</v>
      </c>
      <c r="Q67" s="393">
        <v>0</v>
      </c>
      <c r="R67" s="394">
        <f t="shared" si="2"/>
        <v>942594118.56565356</v>
      </c>
      <c r="S67" s="588">
        <v>40960</v>
      </c>
      <c r="T67" s="589">
        <f t="shared" si="23"/>
        <v>0</v>
      </c>
      <c r="U67" s="589">
        <f t="shared" si="24"/>
        <v>0</v>
      </c>
      <c r="V67" s="589">
        <f t="shared" si="25"/>
        <v>0</v>
      </c>
      <c r="W67" s="589">
        <f t="shared" si="26"/>
        <v>0</v>
      </c>
      <c r="X67" s="589">
        <f>+ROUND(F66-F67,2)-447582604.19</f>
        <v>0</v>
      </c>
      <c r="Y67" s="589">
        <f t="shared" si="28"/>
        <v>104878072.90000001</v>
      </c>
      <c r="Z67" s="589">
        <f t="shared" si="29"/>
        <v>0</v>
      </c>
      <c r="AA67" s="589">
        <f t="shared" si="30"/>
        <v>0</v>
      </c>
      <c r="AB67" s="589">
        <f>+ROUND(J66-J67,2)-92181740.83</f>
        <v>0</v>
      </c>
      <c r="AC67" s="589">
        <f>+ROUND(K66-K67,2)-18926732.95</f>
        <v>0</v>
      </c>
      <c r="AD67" s="589">
        <f t="shared" si="33"/>
        <v>0</v>
      </c>
      <c r="AE67" s="589">
        <f>+ROUND(M66-M67,2)-50230768.96</f>
        <v>0</v>
      </c>
      <c r="AF67" s="589">
        <f>+ROUND(N66-N67,2)-46082480.22</f>
        <v>0</v>
      </c>
      <c r="AG67" s="589">
        <f>+ROUND(O66-O67,2)-30366967.3</f>
        <v>0</v>
      </c>
      <c r="AH67" s="589">
        <f>+ROUND(P66-P67,2)-116469145.6</f>
        <v>0</v>
      </c>
      <c r="AI67" s="589">
        <f>+ROUND(Q66-Q67,2)-16458028.65</f>
        <v>0</v>
      </c>
      <c r="AJ67" s="589">
        <f t="shared" si="39"/>
        <v>104878072.90000001</v>
      </c>
      <c r="AK67" s="396"/>
      <c r="AL67" s="391">
        <v>40960</v>
      </c>
      <c r="AM67" s="397">
        <f t="shared" si="40"/>
        <v>942594118.56565356</v>
      </c>
      <c r="AN67" s="397">
        <f t="shared" si="41"/>
        <v>0</v>
      </c>
      <c r="AO67" s="397">
        <f t="shared" si="42"/>
        <v>0</v>
      </c>
      <c r="AP67" s="397">
        <f t="shared" si="43"/>
        <v>0</v>
      </c>
      <c r="AQ67" s="397">
        <f t="shared" si="4"/>
        <v>942594118.56565356</v>
      </c>
      <c r="AR67" s="353"/>
      <c r="AT67" s="391">
        <v>40960</v>
      </c>
      <c r="AU67" s="63">
        <v>0</v>
      </c>
      <c r="AV67" s="63">
        <v>0</v>
      </c>
      <c r="AW67" s="63">
        <v>0</v>
      </c>
      <c r="AX67" s="63">
        <v>0</v>
      </c>
      <c r="AY67" s="63">
        <v>0</v>
      </c>
      <c r="AZ67" s="85">
        <v>104878072.90000001</v>
      </c>
      <c r="BA67" s="63">
        <v>0</v>
      </c>
      <c r="BB67" s="63">
        <v>0</v>
      </c>
      <c r="BC67" s="63">
        <v>0</v>
      </c>
      <c r="BD67" s="63">
        <v>0</v>
      </c>
      <c r="BE67" s="63">
        <v>0</v>
      </c>
      <c r="BF67" s="63">
        <v>0</v>
      </c>
      <c r="BG67" s="63">
        <v>0</v>
      </c>
      <c r="BH67" s="63">
        <v>0</v>
      </c>
      <c r="BI67" s="63">
        <v>0</v>
      </c>
      <c r="BJ67" s="63">
        <v>0</v>
      </c>
      <c r="BL67" s="391">
        <v>40960</v>
      </c>
      <c r="BM67" s="397">
        <f t="shared" si="5"/>
        <v>0</v>
      </c>
      <c r="BN67" s="397">
        <f t="shared" si="6"/>
        <v>0</v>
      </c>
      <c r="BO67" s="397">
        <f t="shared" si="7"/>
        <v>0</v>
      </c>
      <c r="BP67" s="397">
        <f t="shared" si="8"/>
        <v>0</v>
      </c>
      <c r="BQ67" s="397">
        <f t="shared" si="9"/>
        <v>0</v>
      </c>
      <c r="BR67" s="397">
        <f t="shared" si="10"/>
        <v>0</v>
      </c>
      <c r="BS67" s="397">
        <f t="shared" si="11"/>
        <v>0</v>
      </c>
      <c r="BT67" s="397">
        <f t="shared" si="12"/>
        <v>0</v>
      </c>
      <c r="BU67" s="397">
        <f t="shared" si="13"/>
        <v>0</v>
      </c>
      <c r="BV67" s="397">
        <f t="shared" si="14"/>
        <v>0</v>
      </c>
      <c r="BW67" s="397">
        <f t="shared" si="15"/>
        <v>0</v>
      </c>
      <c r="BX67" s="397">
        <f t="shared" si="16"/>
        <v>0</v>
      </c>
      <c r="BY67" s="397">
        <f t="shared" si="17"/>
        <v>0</v>
      </c>
      <c r="BZ67" s="397">
        <f t="shared" si="18"/>
        <v>0</v>
      </c>
      <c r="CA67" s="397">
        <f t="shared" si="19"/>
        <v>0</v>
      </c>
      <c r="CB67" s="397">
        <f t="shared" si="20"/>
        <v>0</v>
      </c>
      <c r="CC67" s="391">
        <v>40960</v>
      </c>
      <c r="CD67" s="397">
        <f t="shared" si="61"/>
        <v>0</v>
      </c>
      <c r="CE67" s="397">
        <f t="shared" si="62"/>
        <v>0</v>
      </c>
      <c r="CF67" s="397">
        <f t="shared" si="63"/>
        <v>0</v>
      </c>
      <c r="CG67" s="397">
        <f t="shared" si="64"/>
        <v>0</v>
      </c>
      <c r="CH67" s="397">
        <f t="shared" si="65"/>
        <v>0</v>
      </c>
      <c r="CI67" s="397">
        <f t="shared" si="66"/>
        <v>0</v>
      </c>
      <c r="CJ67" s="397" t="e">
        <f t="shared" si="67"/>
        <v>#REF!</v>
      </c>
      <c r="CK67" s="397">
        <f t="shared" si="68"/>
        <v>0</v>
      </c>
      <c r="CL67" s="397">
        <f t="shared" si="69"/>
        <v>0</v>
      </c>
      <c r="CM67" s="397">
        <f t="shared" si="70"/>
        <v>0</v>
      </c>
      <c r="CN67" s="397">
        <f t="shared" si="71"/>
        <v>0</v>
      </c>
      <c r="CO67" s="397">
        <f t="shared" si="72"/>
        <v>0</v>
      </c>
      <c r="CP67" s="397">
        <f t="shared" si="73"/>
        <v>0</v>
      </c>
      <c r="CQ67" s="397">
        <f t="shared" si="74"/>
        <v>0</v>
      </c>
      <c r="CR67" s="397">
        <f t="shared" si="75"/>
        <v>-1000000</v>
      </c>
      <c r="CS67" s="397">
        <f t="shared" si="76"/>
        <v>0</v>
      </c>
      <c r="CT67" s="398" t="e">
        <f t="shared" si="60"/>
        <v>#REF!</v>
      </c>
      <c r="CV67" s="391">
        <v>40960</v>
      </c>
      <c r="CW67" s="399">
        <f>+CW$3-SUM(AU$4:AU67)-0.02</f>
        <v>-1.9073486328541334E-8</v>
      </c>
      <c r="CX67" s="399">
        <f>+CX$3-SUM(AV$4:AV67)</f>
        <v>0</v>
      </c>
      <c r="CY67" s="399">
        <f>+CY$3-SUM(AW$4:AW67)</f>
        <v>0</v>
      </c>
      <c r="CZ67" s="399">
        <f>+CZ$3-SUM(AX$4:AX67)</f>
        <v>9.9999904632568359E-3</v>
      </c>
      <c r="DA67" s="909">
        <f>+DA$3-SUM(AY$4:AY67)-447582604.18</f>
        <v>0</v>
      </c>
      <c r="DB67" s="399">
        <f>+DB$3-SUM(AZ$4:AZ67)</f>
        <v>442594118.57000005</v>
      </c>
      <c r="DC67" s="399" t="e">
        <f>+DC$3-SUM(BA$4:BA67)</f>
        <v>#REF!</v>
      </c>
      <c r="DD67" s="399">
        <f>+DD$3-SUM(BB$4:BB67)</f>
        <v>0</v>
      </c>
      <c r="DE67" s="909">
        <f>+DE$3-SUM(BC$4:BC67)-92181740.83</f>
        <v>0</v>
      </c>
      <c r="DF67" s="909">
        <f>+DF$3-SUM(BD$4:BD67)-18926732.95</f>
        <v>0</v>
      </c>
      <c r="DG67" s="909">
        <f>+DG$3-SUM(BE$4:BE67)</f>
        <v>0</v>
      </c>
      <c r="DH67" s="909">
        <f>+DH$3-SUM(BF$4:BF67)-50230768.95</f>
        <v>0</v>
      </c>
      <c r="DI67" s="909">
        <f>+DI$3-SUM(BG$4:BG67)-46082480.22</f>
        <v>0</v>
      </c>
      <c r="DJ67" s="909">
        <f>+DJ$3-SUM(BH$4:BH67)-30366967.3</f>
        <v>0</v>
      </c>
      <c r="DK67" s="909">
        <f>+DK$3-SUM(BI$4:BI67)-115469145.59</f>
        <v>0</v>
      </c>
      <c r="DL67" s="909">
        <f>+DL$3-SUM(BJ$4:BJ67)-16458028.65</f>
        <v>0</v>
      </c>
    </row>
    <row r="68" spans="1:116" s="106" customFormat="1">
      <c r="A68" s="391">
        <v>40988</v>
      </c>
      <c r="B68" s="393">
        <v>0</v>
      </c>
      <c r="C68" s="393">
        <v>0</v>
      </c>
      <c r="D68" s="393">
        <v>0</v>
      </c>
      <c r="E68" s="393">
        <v>0</v>
      </c>
      <c r="F68" s="393">
        <v>0</v>
      </c>
      <c r="G68" s="393">
        <v>442594118.56565356</v>
      </c>
      <c r="H68" s="393">
        <v>500000000</v>
      </c>
      <c r="I68" s="393">
        <v>0</v>
      </c>
      <c r="J68" s="393">
        <v>0</v>
      </c>
      <c r="K68" s="393">
        <v>0</v>
      </c>
      <c r="L68" s="393">
        <v>0</v>
      </c>
      <c r="M68" s="393">
        <v>0</v>
      </c>
      <c r="N68" s="393">
        <v>0</v>
      </c>
      <c r="O68" s="393">
        <v>0</v>
      </c>
      <c r="P68" s="393">
        <v>0</v>
      </c>
      <c r="Q68" s="393">
        <v>0</v>
      </c>
      <c r="R68" s="394">
        <f t="shared" ref="R68:R85" si="77">SUM(B68:Q68)</f>
        <v>942594118.56565356</v>
      </c>
      <c r="S68" s="391">
        <v>40988</v>
      </c>
      <c r="T68" s="395">
        <f t="shared" si="23"/>
        <v>0</v>
      </c>
      <c r="U68" s="395">
        <f t="shared" si="24"/>
        <v>0</v>
      </c>
      <c r="V68" s="395">
        <f t="shared" si="25"/>
        <v>0</v>
      </c>
      <c r="W68" s="395">
        <f t="shared" si="26"/>
        <v>0</v>
      </c>
      <c r="X68" s="395">
        <f t="shared" si="27"/>
        <v>0</v>
      </c>
      <c r="Y68" s="395">
        <f t="shared" si="28"/>
        <v>0</v>
      </c>
      <c r="Z68" s="395">
        <f t="shared" si="29"/>
        <v>0</v>
      </c>
      <c r="AA68" s="395">
        <f t="shared" si="30"/>
        <v>0</v>
      </c>
      <c r="AB68" s="395">
        <f t="shared" si="31"/>
        <v>0</v>
      </c>
      <c r="AC68" s="395">
        <f t="shared" si="32"/>
        <v>0</v>
      </c>
      <c r="AD68" s="395">
        <f t="shared" si="33"/>
        <v>0</v>
      </c>
      <c r="AE68" s="395">
        <f t="shared" si="34"/>
        <v>0</v>
      </c>
      <c r="AF68" s="395">
        <f t="shared" si="35"/>
        <v>0</v>
      </c>
      <c r="AG68" s="395">
        <f t="shared" si="36"/>
        <v>0</v>
      </c>
      <c r="AH68" s="395">
        <f t="shared" si="37"/>
        <v>0</v>
      </c>
      <c r="AI68" s="395">
        <f t="shared" si="38"/>
        <v>0</v>
      </c>
      <c r="AJ68" s="395">
        <f t="shared" si="39"/>
        <v>0</v>
      </c>
      <c r="AK68" s="396"/>
      <c r="AL68" s="391">
        <v>40988</v>
      </c>
      <c r="AM68" s="397">
        <f t="shared" si="40"/>
        <v>942594118.56565356</v>
      </c>
      <c r="AN68" s="397">
        <f t="shared" si="41"/>
        <v>0</v>
      </c>
      <c r="AO68" s="397">
        <f t="shared" si="42"/>
        <v>0</v>
      </c>
      <c r="AP68" s="397">
        <f t="shared" si="43"/>
        <v>0</v>
      </c>
      <c r="AQ68" s="397">
        <f t="shared" ref="AQ68:AQ85" si="78">+SUM(AM68:AP68)</f>
        <v>942594118.56565356</v>
      </c>
      <c r="AR68" s="353"/>
      <c r="AT68" s="391">
        <v>40988</v>
      </c>
      <c r="AU68" s="63">
        <v>0</v>
      </c>
      <c r="AV68" s="63">
        <v>0</v>
      </c>
      <c r="AW68" s="63">
        <v>0</v>
      </c>
      <c r="AX68" s="63">
        <v>0</v>
      </c>
      <c r="AY68" s="63">
        <v>0</v>
      </c>
      <c r="AZ68" s="63">
        <v>0</v>
      </c>
      <c r="BA68" s="63">
        <v>0</v>
      </c>
      <c r="BB68" s="63">
        <v>0</v>
      </c>
      <c r="BC68" s="63">
        <v>0</v>
      </c>
      <c r="BD68" s="63">
        <v>0</v>
      </c>
      <c r="BE68" s="63">
        <v>0</v>
      </c>
      <c r="BF68" s="63">
        <v>0</v>
      </c>
      <c r="BG68" s="63">
        <v>0</v>
      </c>
      <c r="BH68" s="63">
        <v>0</v>
      </c>
      <c r="BI68" s="63">
        <v>0</v>
      </c>
      <c r="BJ68" s="63">
        <v>0</v>
      </c>
      <c r="BL68" s="391">
        <v>40988</v>
      </c>
      <c r="BM68" s="397">
        <f t="shared" ref="BM68:BM85" si="79">+T68-AU68</f>
        <v>0</v>
      </c>
      <c r="BN68" s="397">
        <f t="shared" ref="BN68:BN85" si="80">+U68-AV68</f>
        <v>0</v>
      </c>
      <c r="BO68" s="397">
        <f t="shared" ref="BO68:BO85" si="81">+V68-AW68</f>
        <v>0</v>
      </c>
      <c r="BP68" s="397">
        <f t="shared" ref="BP68:BP85" si="82">+W68-AX68</f>
        <v>0</v>
      </c>
      <c r="BQ68" s="397">
        <f t="shared" ref="BQ68:BQ85" si="83">+X68-AY68</f>
        <v>0</v>
      </c>
      <c r="BR68" s="397">
        <f t="shared" ref="BR68:BR85" si="84">+Y68-AZ68</f>
        <v>0</v>
      </c>
      <c r="BS68" s="397">
        <f t="shared" ref="BS68:BS85" si="85">+Z68-BA68</f>
        <v>0</v>
      </c>
      <c r="BT68" s="397">
        <f t="shared" ref="BT68:BT85" si="86">+AA68-BB68</f>
        <v>0</v>
      </c>
      <c r="BU68" s="397">
        <f t="shared" ref="BU68:BU85" si="87">+AB68-BC68</f>
        <v>0</v>
      </c>
      <c r="BV68" s="397">
        <f t="shared" ref="BV68:BV85" si="88">+AC68-BD68</f>
        <v>0</v>
      </c>
      <c r="BW68" s="397">
        <f t="shared" ref="BW68:BW85" si="89">+AD68-BE68</f>
        <v>0</v>
      </c>
      <c r="BX68" s="397">
        <f t="shared" ref="BX68:BX85" si="90">+AE68-BF68</f>
        <v>0</v>
      </c>
      <c r="BY68" s="397">
        <f t="shared" ref="BY68:BY85" si="91">+AF68-BG68</f>
        <v>0</v>
      </c>
      <c r="BZ68" s="397">
        <f t="shared" ref="BZ68:BZ85" si="92">+AG68-BH68</f>
        <v>0</v>
      </c>
      <c r="CA68" s="397">
        <f t="shared" ref="CA68:CA85" si="93">+AH68-BI68</f>
        <v>0</v>
      </c>
      <c r="CB68" s="397">
        <f t="shared" ref="CB68:CB85" si="94">+AI68-BJ68</f>
        <v>0</v>
      </c>
      <c r="CC68" s="391">
        <v>40988</v>
      </c>
      <c r="CD68" s="397">
        <f t="shared" si="61"/>
        <v>0</v>
      </c>
      <c r="CE68" s="397">
        <f t="shared" si="62"/>
        <v>0</v>
      </c>
      <c r="CF68" s="397">
        <f t="shared" si="63"/>
        <v>0</v>
      </c>
      <c r="CG68" s="397">
        <f t="shared" si="64"/>
        <v>0</v>
      </c>
      <c r="CH68" s="397">
        <f t="shared" si="65"/>
        <v>0</v>
      </c>
      <c r="CI68" s="397">
        <f t="shared" si="66"/>
        <v>0</v>
      </c>
      <c r="CJ68" s="397" t="e">
        <f t="shared" si="67"/>
        <v>#REF!</v>
      </c>
      <c r="CK68" s="397">
        <f t="shared" si="68"/>
        <v>0</v>
      </c>
      <c r="CL68" s="397">
        <f t="shared" si="69"/>
        <v>0</v>
      </c>
      <c r="CM68" s="397">
        <f t="shared" si="70"/>
        <v>0</v>
      </c>
      <c r="CN68" s="397">
        <f t="shared" si="71"/>
        <v>0</v>
      </c>
      <c r="CO68" s="397">
        <f t="shared" si="72"/>
        <v>0</v>
      </c>
      <c r="CP68" s="397">
        <f t="shared" si="73"/>
        <v>0</v>
      </c>
      <c r="CQ68" s="397">
        <f t="shared" si="74"/>
        <v>0</v>
      </c>
      <c r="CR68" s="397">
        <f t="shared" si="75"/>
        <v>-1000000</v>
      </c>
      <c r="CS68" s="397">
        <f t="shared" si="76"/>
        <v>0</v>
      </c>
      <c r="CT68" s="398" t="e">
        <f t="shared" si="60"/>
        <v>#REF!</v>
      </c>
      <c r="CV68" s="391">
        <v>40988</v>
      </c>
      <c r="CW68" s="399">
        <f>+CW$3-SUM(AU$4:AU68)-0.02</f>
        <v>-1.9073486328541334E-8</v>
      </c>
      <c r="CX68" s="399">
        <f>+CX$3-SUM(AV$4:AV68)</f>
        <v>0</v>
      </c>
      <c r="CY68" s="399">
        <f>+CY$3-SUM(AW$4:AW68)</f>
        <v>0</v>
      </c>
      <c r="CZ68" s="399">
        <f>+CZ$3-SUM(AX$4:AX68)</f>
        <v>9.9999904632568359E-3</v>
      </c>
      <c r="DA68" s="909">
        <f>+DA$3-SUM(AY$4:AY68)-447582604.18</f>
        <v>0</v>
      </c>
      <c r="DB68" s="399">
        <f>+DB$3-SUM(AZ$4:AZ68)</f>
        <v>442594118.57000005</v>
      </c>
      <c r="DC68" s="399" t="e">
        <f>+DC$3-SUM(BA$4:BA68)</f>
        <v>#REF!</v>
      </c>
      <c r="DD68" s="399">
        <f>+DD$3-SUM(BB$4:BB68)</f>
        <v>0</v>
      </c>
      <c r="DE68" s="909">
        <f>+DE$3-SUM(BC$4:BC68)-92181740.83</f>
        <v>0</v>
      </c>
      <c r="DF68" s="909">
        <f>+DF$3-SUM(BD$4:BD68)-18926732.95</f>
        <v>0</v>
      </c>
      <c r="DG68" s="909">
        <f>+DG$3-SUM(BE$4:BE68)</f>
        <v>0</v>
      </c>
      <c r="DH68" s="909">
        <f>+DH$3-SUM(BF$4:BF68)-50230768.95</f>
        <v>0</v>
      </c>
      <c r="DI68" s="909">
        <f>+DI$3-SUM(BG$4:BG68)-46082480.22</f>
        <v>0</v>
      </c>
      <c r="DJ68" s="909">
        <f>+DJ$3-SUM(BH$4:BH68)-30366967.3</f>
        <v>0</v>
      </c>
      <c r="DK68" s="909">
        <f>+DK$3-SUM(BI$4:BI68)-115469145.59</f>
        <v>0</v>
      </c>
      <c r="DL68" s="909">
        <f>+DL$3-SUM(BJ$4:BJ68)-16458028.65</f>
        <v>0</v>
      </c>
    </row>
    <row r="69" spans="1:116" s="106" customFormat="1">
      <c r="A69" s="391">
        <v>41019</v>
      </c>
      <c r="B69" s="393">
        <v>0</v>
      </c>
      <c r="C69" s="393">
        <v>0</v>
      </c>
      <c r="D69" s="393">
        <v>0</v>
      </c>
      <c r="E69" s="393">
        <v>0</v>
      </c>
      <c r="F69" s="393">
        <v>0</v>
      </c>
      <c r="G69" s="393">
        <v>442594118.56565356</v>
      </c>
      <c r="H69" s="393">
        <v>500000000</v>
      </c>
      <c r="I69" s="393">
        <v>0</v>
      </c>
      <c r="J69" s="393">
        <v>0</v>
      </c>
      <c r="K69" s="393">
        <v>0</v>
      </c>
      <c r="L69" s="393">
        <v>0</v>
      </c>
      <c r="M69" s="393">
        <v>0</v>
      </c>
      <c r="N69" s="393">
        <v>0</v>
      </c>
      <c r="O69" s="393">
        <v>0</v>
      </c>
      <c r="P69" s="393">
        <v>0</v>
      </c>
      <c r="Q69" s="393">
        <v>0</v>
      </c>
      <c r="R69" s="394">
        <f t="shared" si="77"/>
        <v>942594118.56565356</v>
      </c>
      <c r="S69" s="391">
        <v>41019</v>
      </c>
      <c r="T69" s="395">
        <f t="shared" ref="T69:T85" si="95">+ROUND(B68-B69,2)</f>
        <v>0</v>
      </c>
      <c r="U69" s="395">
        <f t="shared" ref="U69:U85" si="96">+ROUND(C68-C69,2)</f>
        <v>0</v>
      </c>
      <c r="V69" s="395">
        <f t="shared" ref="V69:V85" si="97">+ROUND(D68-D69,2)</f>
        <v>0</v>
      </c>
      <c r="W69" s="395">
        <f t="shared" ref="W69:W85" si="98">+ROUND(E68-E69,2)</f>
        <v>0</v>
      </c>
      <c r="X69" s="395">
        <f t="shared" ref="X69:X85" si="99">+ROUND(F68-F69,2)</f>
        <v>0</v>
      </c>
      <c r="Y69" s="395">
        <f t="shared" ref="Y69:Y85" si="100">+ROUND(G68-G69,2)</f>
        <v>0</v>
      </c>
      <c r="Z69" s="395">
        <f t="shared" ref="Z69:Z85" si="101">+ROUND(H68-H69,2)</f>
        <v>0</v>
      </c>
      <c r="AA69" s="395">
        <f t="shared" ref="AA69:AA85" si="102">+ROUND(I68-I69,2)</f>
        <v>0</v>
      </c>
      <c r="AB69" s="395">
        <f t="shared" ref="AB69:AB85" si="103">+ROUND(J68-J69,2)</f>
        <v>0</v>
      </c>
      <c r="AC69" s="395">
        <f t="shared" ref="AC69:AC85" si="104">+ROUND(K68-K69,2)</f>
        <v>0</v>
      </c>
      <c r="AD69" s="395">
        <f t="shared" ref="AD69:AD85" si="105">+ROUND(L68-L69,2)</f>
        <v>0</v>
      </c>
      <c r="AE69" s="395">
        <f t="shared" ref="AE69:AE85" si="106">+ROUND(M68-M69,2)</f>
        <v>0</v>
      </c>
      <c r="AF69" s="395">
        <f t="shared" ref="AF69:AF85" si="107">+ROUND(N68-N69,2)</f>
        <v>0</v>
      </c>
      <c r="AG69" s="395">
        <f t="shared" ref="AG69:AG85" si="108">+ROUND(O68-O69,2)</f>
        <v>0</v>
      </c>
      <c r="AH69" s="395">
        <f t="shared" ref="AH69:AH85" si="109">+ROUND(P68-P69,2)</f>
        <v>0</v>
      </c>
      <c r="AI69" s="395">
        <f t="shared" ref="AI69:AI85" si="110">+ROUND(Q68-Q69,2)</f>
        <v>0</v>
      </c>
      <c r="AJ69" s="395">
        <f t="shared" ref="AJ69:AJ85" si="111">+ROUND(SUM(T69:AI69),2)</f>
        <v>0</v>
      </c>
      <c r="AK69" s="396"/>
      <c r="AL69" s="391">
        <v>41019</v>
      </c>
      <c r="AM69" s="397">
        <f t="shared" ref="AM69:AM85" si="112">+SUM(B69:H69)</f>
        <v>942594118.56565356</v>
      </c>
      <c r="AN69" s="397">
        <f t="shared" ref="AN69:AN85" si="113">+SUM(I69:K69)</f>
        <v>0</v>
      </c>
      <c r="AO69" s="397">
        <f t="shared" ref="AO69:AO85" si="114">+SUM(L69:N69)</f>
        <v>0</v>
      </c>
      <c r="AP69" s="397">
        <f t="shared" ref="AP69:AP85" si="115">+SUM(O69:Q69)</f>
        <v>0</v>
      </c>
      <c r="AQ69" s="397">
        <f t="shared" si="78"/>
        <v>942594118.56565356</v>
      </c>
      <c r="AR69" s="353"/>
      <c r="AT69" s="391">
        <v>41019</v>
      </c>
      <c r="AU69" s="63">
        <v>0</v>
      </c>
      <c r="AV69" s="63">
        <v>0</v>
      </c>
      <c r="AW69" s="63">
        <v>0</v>
      </c>
      <c r="AX69" s="63">
        <v>0</v>
      </c>
      <c r="AY69" s="63">
        <v>0</v>
      </c>
      <c r="AZ69" s="63">
        <v>0</v>
      </c>
      <c r="BA69" s="63">
        <v>0</v>
      </c>
      <c r="BB69" s="63">
        <v>0</v>
      </c>
      <c r="BC69" s="63">
        <v>0</v>
      </c>
      <c r="BD69" s="63">
        <v>0</v>
      </c>
      <c r="BE69" s="63">
        <v>0</v>
      </c>
      <c r="BF69" s="63">
        <v>0</v>
      </c>
      <c r="BG69" s="63">
        <v>0</v>
      </c>
      <c r="BH69" s="63">
        <v>0</v>
      </c>
      <c r="BI69" s="63">
        <v>0</v>
      </c>
      <c r="BJ69" s="63">
        <v>0</v>
      </c>
      <c r="BL69" s="391">
        <v>41019</v>
      </c>
      <c r="BM69" s="397">
        <f t="shared" si="79"/>
        <v>0</v>
      </c>
      <c r="BN69" s="397">
        <f t="shared" si="80"/>
        <v>0</v>
      </c>
      <c r="BO69" s="397">
        <f t="shared" si="81"/>
        <v>0</v>
      </c>
      <c r="BP69" s="397">
        <f t="shared" si="82"/>
        <v>0</v>
      </c>
      <c r="BQ69" s="397">
        <f t="shared" si="83"/>
        <v>0</v>
      </c>
      <c r="BR69" s="397">
        <f t="shared" si="84"/>
        <v>0</v>
      </c>
      <c r="BS69" s="397">
        <f t="shared" si="85"/>
        <v>0</v>
      </c>
      <c r="BT69" s="397">
        <f t="shared" si="86"/>
        <v>0</v>
      </c>
      <c r="BU69" s="397">
        <f t="shared" si="87"/>
        <v>0</v>
      </c>
      <c r="BV69" s="397">
        <f t="shared" si="88"/>
        <v>0</v>
      </c>
      <c r="BW69" s="397">
        <f t="shared" si="89"/>
        <v>0</v>
      </c>
      <c r="BX69" s="397">
        <f t="shared" si="90"/>
        <v>0</v>
      </c>
      <c r="BY69" s="397">
        <f t="shared" si="91"/>
        <v>0</v>
      </c>
      <c r="BZ69" s="397">
        <f t="shared" si="92"/>
        <v>0</v>
      </c>
      <c r="CA69" s="397">
        <f t="shared" si="93"/>
        <v>0</v>
      </c>
      <c r="CB69" s="397">
        <f t="shared" si="94"/>
        <v>0</v>
      </c>
      <c r="CC69" s="391">
        <v>41019</v>
      </c>
      <c r="CD69" s="397">
        <f t="shared" ref="CD69:CD85" si="116">+CD68+BM69</f>
        <v>0</v>
      </c>
      <c r="CE69" s="397">
        <f t="shared" ref="CE69:CE85" si="117">+CE68+BN69</f>
        <v>0</v>
      </c>
      <c r="CF69" s="397">
        <f t="shared" ref="CF69:CF85" si="118">+CF68+BO69</f>
        <v>0</v>
      </c>
      <c r="CG69" s="397">
        <f t="shared" ref="CG69:CG85" si="119">+CG68+BP69</f>
        <v>0</v>
      </c>
      <c r="CH69" s="397">
        <f t="shared" ref="CH69:CH85" si="120">+CH68+BQ69</f>
        <v>0</v>
      </c>
      <c r="CI69" s="397">
        <f t="shared" ref="CI69:CI85" si="121">+CI68+BR69</f>
        <v>0</v>
      </c>
      <c r="CJ69" s="397" t="e">
        <f t="shared" ref="CJ69:CJ85" si="122">+CJ68+BS69</f>
        <v>#REF!</v>
      </c>
      <c r="CK69" s="397">
        <f t="shared" ref="CK69:CK85" si="123">+CK68+BT69</f>
        <v>0</v>
      </c>
      <c r="CL69" s="397">
        <f t="shared" ref="CL69:CL85" si="124">+CL68+BU69</f>
        <v>0</v>
      </c>
      <c r="CM69" s="397">
        <f t="shared" ref="CM69:CM85" si="125">+CM68+BV69</f>
        <v>0</v>
      </c>
      <c r="CN69" s="397">
        <f t="shared" ref="CN69:CN85" si="126">+CN68+BW69</f>
        <v>0</v>
      </c>
      <c r="CO69" s="397">
        <f t="shared" ref="CO69:CO85" si="127">+CO68+BX69</f>
        <v>0</v>
      </c>
      <c r="CP69" s="397">
        <f t="shared" ref="CP69:CP85" si="128">+CP68+BY69</f>
        <v>0</v>
      </c>
      <c r="CQ69" s="397">
        <f t="shared" ref="CQ69:CQ85" si="129">+CQ68+BZ69</f>
        <v>0</v>
      </c>
      <c r="CR69" s="397">
        <f t="shared" ref="CR69:CR85" si="130">+CR68+CA69</f>
        <v>-1000000</v>
      </c>
      <c r="CS69" s="397">
        <f t="shared" ref="CS69:CS85" si="131">+CS68+CB69</f>
        <v>0</v>
      </c>
      <c r="CT69" s="398" t="e">
        <f t="shared" ref="CT69:CT85" si="132">+SUM(CD69:CS69)</f>
        <v>#REF!</v>
      </c>
      <c r="CV69" s="391">
        <v>41019</v>
      </c>
      <c r="CW69" s="399">
        <f>+CW$3-SUM(AU$4:AU69)-0.02</f>
        <v>-1.9073486328541334E-8</v>
      </c>
      <c r="CX69" s="399">
        <f>+CX$3-SUM(AV$4:AV69)</f>
        <v>0</v>
      </c>
      <c r="CY69" s="399">
        <f>+CY$3-SUM(AW$4:AW69)</f>
        <v>0</v>
      </c>
      <c r="CZ69" s="399">
        <f>+CZ$3-SUM(AX$4:AX69)</f>
        <v>9.9999904632568359E-3</v>
      </c>
      <c r="DA69" s="909">
        <f>+DA$3-SUM(AY$4:AY69)-447582604.18</f>
        <v>0</v>
      </c>
      <c r="DB69" s="399">
        <f>+DB$3-SUM(AZ$4:AZ69)</f>
        <v>442594118.57000005</v>
      </c>
      <c r="DC69" s="399" t="e">
        <f>+DC$3-SUM(BA$4:BA69)</f>
        <v>#REF!</v>
      </c>
      <c r="DD69" s="399">
        <f>+DD$3-SUM(BB$4:BB69)</f>
        <v>0</v>
      </c>
      <c r="DE69" s="909">
        <f>+DE$3-SUM(BC$4:BC69)-92181740.83</f>
        <v>0</v>
      </c>
      <c r="DF69" s="909">
        <f>+DF$3-SUM(BD$4:BD69)-18926732.95</f>
        <v>0</v>
      </c>
      <c r="DG69" s="909">
        <f>+DG$3-SUM(BE$4:BE69)</f>
        <v>0</v>
      </c>
      <c r="DH69" s="909">
        <f>+DH$3-SUM(BF$4:BF69)-50230768.95</f>
        <v>0</v>
      </c>
      <c r="DI69" s="909">
        <f>+DI$3-SUM(BG$4:BG69)-46082480.22</f>
        <v>0</v>
      </c>
      <c r="DJ69" s="909">
        <f>+DJ$3-SUM(BH$4:BH69)-30366967.3</f>
        <v>0</v>
      </c>
      <c r="DK69" s="909">
        <f>+DK$3-SUM(BI$4:BI69)-115469145.59</f>
        <v>0</v>
      </c>
      <c r="DL69" s="909">
        <f>+DL$3-SUM(BJ$4:BJ69)-16458028.65</f>
        <v>0</v>
      </c>
    </row>
    <row r="70" spans="1:116" s="106" customFormat="1">
      <c r="A70" s="391">
        <v>41050</v>
      </c>
      <c r="B70" s="393">
        <v>0</v>
      </c>
      <c r="C70" s="393">
        <v>0</v>
      </c>
      <c r="D70" s="393">
        <v>0</v>
      </c>
      <c r="E70" s="393">
        <v>0</v>
      </c>
      <c r="F70" s="393">
        <v>0</v>
      </c>
      <c r="G70" s="393">
        <v>343406561.14766687</v>
      </c>
      <c r="H70" s="393">
        <v>500000000</v>
      </c>
      <c r="I70" s="393">
        <v>0</v>
      </c>
      <c r="J70" s="393">
        <v>0</v>
      </c>
      <c r="K70" s="393">
        <v>0</v>
      </c>
      <c r="L70" s="393">
        <v>0</v>
      </c>
      <c r="M70" s="393">
        <v>0</v>
      </c>
      <c r="N70" s="393">
        <v>0</v>
      </c>
      <c r="O70" s="393">
        <v>0</v>
      </c>
      <c r="P70" s="393">
        <v>0</v>
      </c>
      <c r="Q70" s="393">
        <v>0</v>
      </c>
      <c r="R70" s="394">
        <f t="shared" si="77"/>
        <v>843406561.14766693</v>
      </c>
      <c r="S70" s="1240">
        <v>41050</v>
      </c>
      <c r="T70" s="1241">
        <f t="shared" si="95"/>
        <v>0</v>
      </c>
      <c r="U70" s="1241">
        <f t="shared" si="96"/>
        <v>0</v>
      </c>
      <c r="V70" s="1241">
        <f t="shared" si="97"/>
        <v>0</v>
      </c>
      <c r="W70" s="1241">
        <f t="shared" si="98"/>
        <v>0</v>
      </c>
      <c r="X70" s="1241">
        <f t="shared" si="99"/>
        <v>0</v>
      </c>
      <c r="Y70" s="1241">
        <f t="shared" si="100"/>
        <v>99187557.420000002</v>
      </c>
      <c r="Z70" s="1241">
        <f t="shared" si="101"/>
        <v>0</v>
      </c>
      <c r="AA70" s="1241">
        <f t="shared" si="102"/>
        <v>0</v>
      </c>
      <c r="AB70" s="1241">
        <f t="shared" si="103"/>
        <v>0</v>
      </c>
      <c r="AC70" s="1241">
        <f t="shared" si="104"/>
        <v>0</v>
      </c>
      <c r="AD70" s="1241">
        <f t="shared" si="105"/>
        <v>0</v>
      </c>
      <c r="AE70" s="1241">
        <f t="shared" si="106"/>
        <v>0</v>
      </c>
      <c r="AF70" s="1241">
        <f t="shared" si="107"/>
        <v>0</v>
      </c>
      <c r="AG70" s="1241">
        <f t="shared" si="108"/>
        <v>0</v>
      </c>
      <c r="AH70" s="1241">
        <f t="shared" si="109"/>
        <v>0</v>
      </c>
      <c r="AI70" s="1241">
        <f t="shared" si="110"/>
        <v>0</v>
      </c>
      <c r="AJ70" s="1241">
        <f t="shared" si="111"/>
        <v>99187557.420000002</v>
      </c>
      <c r="AK70" s="396"/>
      <c r="AL70" s="391">
        <v>41050</v>
      </c>
      <c r="AM70" s="397">
        <f t="shared" si="112"/>
        <v>843406561.14766693</v>
      </c>
      <c r="AN70" s="397">
        <f t="shared" si="113"/>
        <v>0</v>
      </c>
      <c r="AO70" s="397">
        <f t="shared" si="114"/>
        <v>0</v>
      </c>
      <c r="AP70" s="397">
        <f t="shared" si="115"/>
        <v>0</v>
      </c>
      <c r="AQ70" s="397">
        <f t="shared" si="78"/>
        <v>843406561.14766693</v>
      </c>
      <c r="AR70" s="353"/>
      <c r="AT70" s="391">
        <v>41050</v>
      </c>
      <c r="AU70" s="63">
        <v>0</v>
      </c>
      <c r="AV70" s="63">
        <v>0</v>
      </c>
      <c r="AW70" s="63">
        <v>0</v>
      </c>
      <c r="AX70" s="63">
        <v>0</v>
      </c>
      <c r="AY70" s="63">
        <v>0</v>
      </c>
      <c r="AZ70" s="85">
        <v>99187557.420000002</v>
      </c>
      <c r="BA70" s="63">
        <v>0</v>
      </c>
      <c r="BB70" s="63">
        <v>0</v>
      </c>
      <c r="BC70" s="63">
        <v>0</v>
      </c>
      <c r="BD70" s="63">
        <v>0</v>
      </c>
      <c r="BE70" s="63">
        <v>0</v>
      </c>
      <c r="BF70" s="63">
        <v>0</v>
      </c>
      <c r="BG70" s="63">
        <v>0</v>
      </c>
      <c r="BH70" s="63">
        <v>0</v>
      </c>
      <c r="BI70" s="63">
        <v>0</v>
      </c>
      <c r="BJ70" s="63">
        <v>0</v>
      </c>
      <c r="BL70" s="391">
        <v>41050</v>
      </c>
      <c r="BM70" s="397">
        <f t="shared" si="79"/>
        <v>0</v>
      </c>
      <c r="BN70" s="397">
        <f t="shared" si="80"/>
        <v>0</v>
      </c>
      <c r="BO70" s="397">
        <f t="shared" si="81"/>
        <v>0</v>
      </c>
      <c r="BP70" s="397">
        <f t="shared" si="82"/>
        <v>0</v>
      </c>
      <c r="BQ70" s="397">
        <f t="shared" si="83"/>
        <v>0</v>
      </c>
      <c r="BR70" s="397">
        <f t="shared" si="84"/>
        <v>0</v>
      </c>
      <c r="BS70" s="397">
        <f t="shared" si="85"/>
        <v>0</v>
      </c>
      <c r="BT70" s="397">
        <f t="shared" si="86"/>
        <v>0</v>
      </c>
      <c r="BU70" s="397">
        <f t="shared" si="87"/>
        <v>0</v>
      </c>
      <c r="BV70" s="397">
        <f t="shared" si="88"/>
        <v>0</v>
      </c>
      <c r="BW70" s="397">
        <f t="shared" si="89"/>
        <v>0</v>
      </c>
      <c r="BX70" s="397">
        <f t="shared" si="90"/>
        <v>0</v>
      </c>
      <c r="BY70" s="397">
        <f t="shared" si="91"/>
        <v>0</v>
      </c>
      <c r="BZ70" s="397">
        <f t="shared" si="92"/>
        <v>0</v>
      </c>
      <c r="CA70" s="397">
        <f t="shared" si="93"/>
        <v>0</v>
      </c>
      <c r="CB70" s="397">
        <f t="shared" si="94"/>
        <v>0</v>
      </c>
      <c r="CC70" s="391">
        <v>41050</v>
      </c>
      <c r="CD70" s="397">
        <f t="shared" si="116"/>
        <v>0</v>
      </c>
      <c r="CE70" s="397">
        <f t="shared" si="117"/>
        <v>0</v>
      </c>
      <c r="CF70" s="397">
        <f t="shared" si="118"/>
        <v>0</v>
      </c>
      <c r="CG70" s="397">
        <f t="shared" si="119"/>
        <v>0</v>
      </c>
      <c r="CH70" s="397">
        <f t="shared" si="120"/>
        <v>0</v>
      </c>
      <c r="CI70" s="397">
        <f t="shared" si="121"/>
        <v>0</v>
      </c>
      <c r="CJ70" s="397" t="e">
        <f t="shared" si="122"/>
        <v>#REF!</v>
      </c>
      <c r="CK70" s="397">
        <f t="shared" si="123"/>
        <v>0</v>
      </c>
      <c r="CL70" s="397">
        <f t="shared" si="124"/>
        <v>0</v>
      </c>
      <c r="CM70" s="397">
        <f t="shared" si="125"/>
        <v>0</v>
      </c>
      <c r="CN70" s="397">
        <f t="shared" si="126"/>
        <v>0</v>
      </c>
      <c r="CO70" s="397">
        <f t="shared" si="127"/>
        <v>0</v>
      </c>
      <c r="CP70" s="397">
        <f t="shared" si="128"/>
        <v>0</v>
      </c>
      <c r="CQ70" s="397">
        <f t="shared" si="129"/>
        <v>0</v>
      </c>
      <c r="CR70" s="397">
        <f t="shared" si="130"/>
        <v>-1000000</v>
      </c>
      <c r="CS70" s="397">
        <f t="shared" si="131"/>
        <v>0</v>
      </c>
      <c r="CT70" s="398" t="e">
        <f t="shared" si="132"/>
        <v>#REF!</v>
      </c>
      <c r="CV70" s="391">
        <v>41050</v>
      </c>
      <c r="CW70" s="399">
        <f>+CW$3-SUM(AU$4:AU70)-0.02</f>
        <v>-1.9073486328541334E-8</v>
      </c>
      <c r="CX70" s="399">
        <f>+CX$3-SUM(AV$4:AV70)</f>
        <v>0</v>
      </c>
      <c r="CY70" s="399">
        <f>+CY$3-SUM(AW$4:AW70)</f>
        <v>0</v>
      </c>
      <c r="CZ70" s="399">
        <f>+CZ$3-SUM(AX$4:AX70)</f>
        <v>9.9999904632568359E-3</v>
      </c>
      <c r="DA70" s="909">
        <f>+DA$3-SUM(AY$4:AY70)-447582604.18</f>
        <v>0</v>
      </c>
      <c r="DB70" s="399">
        <f>+DB$3-SUM(AZ$4:AZ70)</f>
        <v>343406561.15000004</v>
      </c>
      <c r="DC70" s="399" t="e">
        <f>+DC$3-SUM(BA$4:BA70)</f>
        <v>#REF!</v>
      </c>
      <c r="DD70" s="399">
        <f>+DD$3-SUM(BB$4:BB70)</f>
        <v>0</v>
      </c>
      <c r="DE70" s="909">
        <f>+DE$3-SUM(BC$4:BC70)-92181740.83</f>
        <v>0</v>
      </c>
      <c r="DF70" s="909">
        <f>+DF$3-SUM(BD$4:BD70)-18926732.95</f>
        <v>0</v>
      </c>
      <c r="DG70" s="909">
        <f>+DG$3-SUM(BE$4:BE70)</f>
        <v>0</v>
      </c>
      <c r="DH70" s="909">
        <f>+DH$3-SUM(BF$4:BF70)-50230768.95</f>
        <v>0</v>
      </c>
      <c r="DI70" s="909">
        <f>+DI$3-SUM(BG$4:BG70)-46082480.22</f>
        <v>0</v>
      </c>
      <c r="DJ70" s="909">
        <f>+DJ$3-SUM(BH$4:BH70)-30366967.3</f>
        <v>0</v>
      </c>
      <c r="DK70" s="909">
        <f>+DK$3-SUM(BI$4:BI70)-115469145.59</f>
        <v>0</v>
      </c>
      <c r="DL70" s="909">
        <f>+DL$3-SUM(BJ$4:BJ70)-16458028.65</f>
        <v>0</v>
      </c>
    </row>
    <row r="71" spans="1:116" s="106" customFormat="1">
      <c r="A71" s="391">
        <v>41080</v>
      </c>
      <c r="B71" s="393">
        <v>0</v>
      </c>
      <c r="C71" s="393">
        <v>0</v>
      </c>
      <c r="D71" s="393">
        <v>0</v>
      </c>
      <c r="E71" s="393">
        <v>0</v>
      </c>
      <c r="F71" s="393">
        <v>0</v>
      </c>
      <c r="G71" s="393">
        <v>343406561.14766687</v>
      </c>
      <c r="H71" s="393">
        <v>500000000</v>
      </c>
      <c r="I71" s="393">
        <v>0</v>
      </c>
      <c r="J71" s="393">
        <v>0</v>
      </c>
      <c r="K71" s="393">
        <v>0</v>
      </c>
      <c r="L71" s="393">
        <v>0</v>
      </c>
      <c r="M71" s="393">
        <v>0</v>
      </c>
      <c r="N71" s="393">
        <v>0</v>
      </c>
      <c r="O71" s="393">
        <v>0</v>
      </c>
      <c r="P71" s="393">
        <v>0</v>
      </c>
      <c r="Q71" s="393">
        <v>0</v>
      </c>
      <c r="R71" s="394">
        <f t="shared" si="77"/>
        <v>843406561.14766693</v>
      </c>
      <c r="S71" s="391">
        <v>41080</v>
      </c>
      <c r="T71" s="395">
        <f t="shared" si="95"/>
        <v>0</v>
      </c>
      <c r="U71" s="395">
        <f t="shared" si="96"/>
        <v>0</v>
      </c>
      <c r="V71" s="395">
        <f t="shared" si="97"/>
        <v>0</v>
      </c>
      <c r="W71" s="395">
        <f t="shared" si="98"/>
        <v>0</v>
      </c>
      <c r="X71" s="395">
        <f t="shared" si="99"/>
        <v>0</v>
      </c>
      <c r="Y71" s="395">
        <f t="shared" si="100"/>
        <v>0</v>
      </c>
      <c r="Z71" s="395">
        <f t="shared" si="101"/>
        <v>0</v>
      </c>
      <c r="AA71" s="395">
        <f t="shared" si="102"/>
        <v>0</v>
      </c>
      <c r="AB71" s="395">
        <f t="shared" si="103"/>
        <v>0</v>
      </c>
      <c r="AC71" s="395">
        <f t="shared" si="104"/>
        <v>0</v>
      </c>
      <c r="AD71" s="395">
        <f t="shared" si="105"/>
        <v>0</v>
      </c>
      <c r="AE71" s="395">
        <f t="shared" si="106"/>
        <v>0</v>
      </c>
      <c r="AF71" s="395">
        <f t="shared" si="107"/>
        <v>0</v>
      </c>
      <c r="AG71" s="395">
        <f t="shared" si="108"/>
        <v>0</v>
      </c>
      <c r="AH71" s="395">
        <f t="shared" si="109"/>
        <v>0</v>
      </c>
      <c r="AI71" s="395">
        <f t="shared" si="110"/>
        <v>0</v>
      </c>
      <c r="AJ71" s="395">
        <f t="shared" si="111"/>
        <v>0</v>
      </c>
      <c r="AK71" s="396"/>
      <c r="AL71" s="391">
        <v>41080</v>
      </c>
      <c r="AM71" s="397">
        <f t="shared" si="112"/>
        <v>843406561.14766693</v>
      </c>
      <c r="AN71" s="397">
        <f t="shared" si="113"/>
        <v>0</v>
      </c>
      <c r="AO71" s="397">
        <f t="shared" si="114"/>
        <v>0</v>
      </c>
      <c r="AP71" s="397">
        <f t="shared" si="115"/>
        <v>0</v>
      </c>
      <c r="AQ71" s="397">
        <f t="shared" si="78"/>
        <v>843406561.14766693</v>
      </c>
      <c r="AR71" s="353"/>
      <c r="AT71" s="391">
        <v>41080</v>
      </c>
      <c r="AU71" s="63">
        <v>0</v>
      </c>
      <c r="AV71" s="63">
        <v>0</v>
      </c>
      <c r="AW71" s="63">
        <v>0</v>
      </c>
      <c r="AX71" s="63">
        <v>0</v>
      </c>
      <c r="AY71" s="63">
        <v>0</v>
      </c>
      <c r="AZ71" s="63">
        <v>0</v>
      </c>
      <c r="BA71" s="63">
        <v>0</v>
      </c>
      <c r="BB71" s="63">
        <v>0</v>
      </c>
      <c r="BC71" s="63">
        <v>0</v>
      </c>
      <c r="BD71" s="63">
        <v>0</v>
      </c>
      <c r="BE71" s="63">
        <v>0</v>
      </c>
      <c r="BF71" s="63">
        <v>0</v>
      </c>
      <c r="BG71" s="63">
        <v>0</v>
      </c>
      <c r="BH71" s="63">
        <v>0</v>
      </c>
      <c r="BI71" s="63">
        <v>0</v>
      </c>
      <c r="BJ71" s="63">
        <v>0</v>
      </c>
      <c r="BL71" s="391">
        <v>41080</v>
      </c>
      <c r="BM71" s="397">
        <f t="shared" si="79"/>
        <v>0</v>
      </c>
      <c r="BN71" s="397">
        <f t="shared" si="80"/>
        <v>0</v>
      </c>
      <c r="BO71" s="397">
        <f t="shared" si="81"/>
        <v>0</v>
      </c>
      <c r="BP71" s="397">
        <f t="shared" si="82"/>
        <v>0</v>
      </c>
      <c r="BQ71" s="397">
        <f t="shared" si="83"/>
        <v>0</v>
      </c>
      <c r="BR71" s="397">
        <f t="shared" si="84"/>
        <v>0</v>
      </c>
      <c r="BS71" s="397">
        <f t="shared" si="85"/>
        <v>0</v>
      </c>
      <c r="BT71" s="397">
        <f t="shared" si="86"/>
        <v>0</v>
      </c>
      <c r="BU71" s="397">
        <f t="shared" si="87"/>
        <v>0</v>
      </c>
      <c r="BV71" s="397">
        <f t="shared" si="88"/>
        <v>0</v>
      </c>
      <c r="BW71" s="397">
        <f t="shared" si="89"/>
        <v>0</v>
      </c>
      <c r="BX71" s="397">
        <f t="shared" si="90"/>
        <v>0</v>
      </c>
      <c r="BY71" s="397">
        <f t="shared" si="91"/>
        <v>0</v>
      </c>
      <c r="BZ71" s="397">
        <f t="shared" si="92"/>
        <v>0</v>
      </c>
      <c r="CA71" s="397">
        <f t="shared" si="93"/>
        <v>0</v>
      </c>
      <c r="CB71" s="397">
        <f t="shared" si="94"/>
        <v>0</v>
      </c>
      <c r="CC71" s="391">
        <v>41080</v>
      </c>
      <c r="CD71" s="397">
        <f t="shared" si="116"/>
        <v>0</v>
      </c>
      <c r="CE71" s="397">
        <f t="shared" si="117"/>
        <v>0</v>
      </c>
      <c r="CF71" s="397">
        <f t="shared" si="118"/>
        <v>0</v>
      </c>
      <c r="CG71" s="397">
        <f t="shared" si="119"/>
        <v>0</v>
      </c>
      <c r="CH71" s="397">
        <f t="shared" si="120"/>
        <v>0</v>
      </c>
      <c r="CI71" s="397">
        <f t="shared" si="121"/>
        <v>0</v>
      </c>
      <c r="CJ71" s="397" t="e">
        <f t="shared" si="122"/>
        <v>#REF!</v>
      </c>
      <c r="CK71" s="397">
        <f t="shared" si="123"/>
        <v>0</v>
      </c>
      <c r="CL71" s="397">
        <f t="shared" si="124"/>
        <v>0</v>
      </c>
      <c r="CM71" s="397">
        <f t="shared" si="125"/>
        <v>0</v>
      </c>
      <c r="CN71" s="397">
        <f t="shared" si="126"/>
        <v>0</v>
      </c>
      <c r="CO71" s="397">
        <f t="shared" si="127"/>
        <v>0</v>
      </c>
      <c r="CP71" s="397">
        <f t="shared" si="128"/>
        <v>0</v>
      </c>
      <c r="CQ71" s="397">
        <f t="shared" si="129"/>
        <v>0</v>
      </c>
      <c r="CR71" s="397">
        <f t="shared" si="130"/>
        <v>-1000000</v>
      </c>
      <c r="CS71" s="397">
        <f t="shared" si="131"/>
        <v>0</v>
      </c>
      <c r="CT71" s="398" t="e">
        <f t="shared" si="132"/>
        <v>#REF!</v>
      </c>
      <c r="CV71" s="391">
        <v>41080</v>
      </c>
      <c r="CW71" s="399">
        <f>+CW$3-SUM(AU$4:AU71)-0.02</f>
        <v>-1.9073486328541334E-8</v>
      </c>
      <c r="CX71" s="399">
        <f>+CX$3-SUM(AV$4:AV71)</f>
        <v>0</v>
      </c>
      <c r="CY71" s="399">
        <f>+CY$3-SUM(AW$4:AW71)</f>
        <v>0</v>
      </c>
      <c r="CZ71" s="399">
        <f>+CZ$3-SUM(AX$4:AX71)</f>
        <v>9.9999904632568359E-3</v>
      </c>
      <c r="DA71" s="909">
        <f>+DA$3-SUM(AY$4:AY71)-447582604.18</f>
        <v>0</v>
      </c>
      <c r="DB71" s="399">
        <f>+DB$3-SUM(AZ$4:AZ71)</f>
        <v>343406561.15000004</v>
      </c>
      <c r="DC71" s="399" t="e">
        <f>+DC$3-SUM(BA$4:BA71)</f>
        <v>#REF!</v>
      </c>
      <c r="DD71" s="399">
        <f>+DD$3-SUM(BB$4:BB71)</f>
        <v>0</v>
      </c>
      <c r="DE71" s="909">
        <f>+DE$3-SUM(BC$4:BC71)-92181740.83</f>
        <v>0</v>
      </c>
      <c r="DF71" s="909">
        <f>+DF$3-SUM(BD$4:BD71)-18926732.95</f>
        <v>0</v>
      </c>
      <c r="DG71" s="909">
        <f>+DG$3-SUM(BE$4:BE71)</f>
        <v>0</v>
      </c>
      <c r="DH71" s="909">
        <f>+DH$3-SUM(BF$4:BF71)-50230768.95</f>
        <v>0</v>
      </c>
      <c r="DI71" s="909">
        <f>+DI$3-SUM(BG$4:BG71)-46082480.22</f>
        <v>0</v>
      </c>
      <c r="DJ71" s="909">
        <f>+DJ$3-SUM(BH$4:BH71)-30366967.3</f>
        <v>0</v>
      </c>
      <c r="DK71" s="909">
        <f>+DK$3-SUM(BI$4:BI71)-115469145.59</f>
        <v>0</v>
      </c>
      <c r="DL71" s="909">
        <f>+DL$3-SUM(BJ$4:BJ71)-16458028.65</f>
        <v>0</v>
      </c>
    </row>
    <row r="72" spans="1:116" s="106" customFormat="1">
      <c r="A72" s="391">
        <v>41110</v>
      </c>
      <c r="B72" s="393">
        <v>0</v>
      </c>
      <c r="C72" s="393">
        <v>0</v>
      </c>
      <c r="D72" s="393">
        <v>0</v>
      </c>
      <c r="E72" s="393">
        <v>0</v>
      </c>
      <c r="F72" s="393">
        <v>0</v>
      </c>
      <c r="G72" s="393">
        <v>343406561.14766687</v>
      </c>
      <c r="H72" s="393">
        <v>500000000</v>
      </c>
      <c r="I72" s="393">
        <v>0</v>
      </c>
      <c r="J72" s="393">
        <v>0</v>
      </c>
      <c r="K72" s="393">
        <v>0</v>
      </c>
      <c r="L72" s="393">
        <v>0</v>
      </c>
      <c r="M72" s="393">
        <v>0</v>
      </c>
      <c r="N72" s="393">
        <v>0</v>
      </c>
      <c r="O72" s="393">
        <v>0</v>
      </c>
      <c r="P72" s="393">
        <v>0</v>
      </c>
      <c r="Q72" s="393">
        <v>0</v>
      </c>
      <c r="R72" s="394">
        <f t="shared" si="77"/>
        <v>843406561.14766693</v>
      </c>
      <c r="S72" s="391">
        <v>41110</v>
      </c>
      <c r="T72" s="395">
        <f t="shared" si="95"/>
        <v>0</v>
      </c>
      <c r="U72" s="395">
        <f t="shared" si="96"/>
        <v>0</v>
      </c>
      <c r="V72" s="395">
        <f t="shared" si="97"/>
        <v>0</v>
      </c>
      <c r="W72" s="395">
        <f t="shared" si="98"/>
        <v>0</v>
      </c>
      <c r="X72" s="395">
        <f t="shared" si="99"/>
        <v>0</v>
      </c>
      <c r="Y72" s="395">
        <f t="shared" si="100"/>
        <v>0</v>
      </c>
      <c r="Z72" s="395">
        <f t="shared" si="101"/>
        <v>0</v>
      </c>
      <c r="AA72" s="395">
        <f t="shared" si="102"/>
        <v>0</v>
      </c>
      <c r="AB72" s="395">
        <f t="shared" si="103"/>
        <v>0</v>
      </c>
      <c r="AC72" s="395">
        <f t="shared" si="104"/>
        <v>0</v>
      </c>
      <c r="AD72" s="395">
        <f t="shared" si="105"/>
        <v>0</v>
      </c>
      <c r="AE72" s="395">
        <f t="shared" si="106"/>
        <v>0</v>
      </c>
      <c r="AF72" s="395">
        <f t="shared" si="107"/>
        <v>0</v>
      </c>
      <c r="AG72" s="395">
        <f t="shared" si="108"/>
        <v>0</v>
      </c>
      <c r="AH72" s="395">
        <f t="shared" si="109"/>
        <v>0</v>
      </c>
      <c r="AI72" s="395">
        <f t="shared" si="110"/>
        <v>0</v>
      </c>
      <c r="AJ72" s="395">
        <f t="shared" si="111"/>
        <v>0</v>
      </c>
      <c r="AK72" s="396"/>
      <c r="AL72" s="391">
        <v>41110</v>
      </c>
      <c r="AM72" s="397">
        <f t="shared" si="112"/>
        <v>843406561.14766693</v>
      </c>
      <c r="AN72" s="397">
        <f t="shared" si="113"/>
        <v>0</v>
      </c>
      <c r="AO72" s="397">
        <f t="shared" si="114"/>
        <v>0</v>
      </c>
      <c r="AP72" s="397">
        <f t="shared" si="115"/>
        <v>0</v>
      </c>
      <c r="AQ72" s="397">
        <f t="shared" si="78"/>
        <v>843406561.14766693</v>
      </c>
      <c r="AR72" s="353"/>
      <c r="AT72" s="391">
        <v>41110</v>
      </c>
      <c r="AU72" s="63">
        <v>0</v>
      </c>
      <c r="AV72" s="63">
        <v>0</v>
      </c>
      <c r="AW72" s="63">
        <v>0</v>
      </c>
      <c r="AX72" s="63">
        <v>0</v>
      </c>
      <c r="AY72" s="63">
        <v>0</v>
      </c>
      <c r="AZ72" s="63">
        <v>0</v>
      </c>
      <c r="BA72" s="63">
        <v>0</v>
      </c>
      <c r="BB72" s="63">
        <v>0</v>
      </c>
      <c r="BC72" s="63">
        <v>0</v>
      </c>
      <c r="BD72" s="63">
        <v>0</v>
      </c>
      <c r="BE72" s="63">
        <v>0</v>
      </c>
      <c r="BF72" s="63">
        <v>0</v>
      </c>
      <c r="BG72" s="63">
        <v>0</v>
      </c>
      <c r="BH72" s="63">
        <v>0</v>
      </c>
      <c r="BI72" s="63">
        <v>0</v>
      </c>
      <c r="BJ72" s="63">
        <v>0</v>
      </c>
      <c r="BL72" s="391">
        <v>41110</v>
      </c>
      <c r="BM72" s="397">
        <f t="shared" si="79"/>
        <v>0</v>
      </c>
      <c r="BN72" s="397">
        <f t="shared" si="80"/>
        <v>0</v>
      </c>
      <c r="BO72" s="397">
        <f t="shared" si="81"/>
        <v>0</v>
      </c>
      <c r="BP72" s="397">
        <f t="shared" si="82"/>
        <v>0</v>
      </c>
      <c r="BQ72" s="397">
        <f t="shared" si="83"/>
        <v>0</v>
      </c>
      <c r="BR72" s="397">
        <f t="shared" si="84"/>
        <v>0</v>
      </c>
      <c r="BS72" s="397">
        <f t="shared" si="85"/>
        <v>0</v>
      </c>
      <c r="BT72" s="397">
        <f t="shared" si="86"/>
        <v>0</v>
      </c>
      <c r="BU72" s="397">
        <f t="shared" si="87"/>
        <v>0</v>
      </c>
      <c r="BV72" s="397">
        <f t="shared" si="88"/>
        <v>0</v>
      </c>
      <c r="BW72" s="397">
        <f t="shared" si="89"/>
        <v>0</v>
      </c>
      <c r="BX72" s="397">
        <f t="shared" si="90"/>
        <v>0</v>
      </c>
      <c r="BY72" s="397">
        <f t="shared" si="91"/>
        <v>0</v>
      </c>
      <c r="BZ72" s="397">
        <f t="shared" si="92"/>
        <v>0</v>
      </c>
      <c r="CA72" s="397">
        <f t="shared" si="93"/>
        <v>0</v>
      </c>
      <c r="CB72" s="397">
        <f t="shared" si="94"/>
        <v>0</v>
      </c>
      <c r="CC72" s="391">
        <v>41110</v>
      </c>
      <c r="CD72" s="397">
        <f t="shared" si="116"/>
        <v>0</v>
      </c>
      <c r="CE72" s="397">
        <f t="shared" si="117"/>
        <v>0</v>
      </c>
      <c r="CF72" s="397">
        <f t="shared" si="118"/>
        <v>0</v>
      </c>
      <c r="CG72" s="397">
        <f t="shared" si="119"/>
        <v>0</v>
      </c>
      <c r="CH72" s="397">
        <f t="shared" si="120"/>
        <v>0</v>
      </c>
      <c r="CI72" s="397">
        <f t="shared" si="121"/>
        <v>0</v>
      </c>
      <c r="CJ72" s="397" t="e">
        <f t="shared" si="122"/>
        <v>#REF!</v>
      </c>
      <c r="CK72" s="397">
        <f t="shared" si="123"/>
        <v>0</v>
      </c>
      <c r="CL72" s="397">
        <f t="shared" si="124"/>
        <v>0</v>
      </c>
      <c r="CM72" s="397">
        <f t="shared" si="125"/>
        <v>0</v>
      </c>
      <c r="CN72" s="397">
        <f t="shared" si="126"/>
        <v>0</v>
      </c>
      <c r="CO72" s="397">
        <f t="shared" si="127"/>
        <v>0</v>
      </c>
      <c r="CP72" s="397">
        <f t="shared" si="128"/>
        <v>0</v>
      </c>
      <c r="CQ72" s="397">
        <f t="shared" si="129"/>
        <v>0</v>
      </c>
      <c r="CR72" s="397">
        <f t="shared" si="130"/>
        <v>-1000000</v>
      </c>
      <c r="CS72" s="397">
        <f t="shared" si="131"/>
        <v>0</v>
      </c>
      <c r="CT72" s="398" t="e">
        <f t="shared" si="132"/>
        <v>#REF!</v>
      </c>
      <c r="CV72" s="391">
        <v>41110</v>
      </c>
      <c r="CW72" s="399">
        <f>+CW$3-SUM(AU$4:AU72)-0.02</f>
        <v>-1.9073486328541334E-8</v>
      </c>
      <c r="CX72" s="399">
        <f>+CX$3-SUM(AV$4:AV72)</f>
        <v>0</v>
      </c>
      <c r="CY72" s="399">
        <f>+CY$3-SUM(AW$4:AW72)</f>
        <v>0</v>
      </c>
      <c r="CZ72" s="399">
        <f>+CZ$3-SUM(AX$4:AX72)</f>
        <v>9.9999904632568359E-3</v>
      </c>
      <c r="DA72" s="909">
        <f>+DA$3-SUM(AY$4:AY72)-447582604.18</f>
        <v>0</v>
      </c>
      <c r="DB72" s="399">
        <f>+DB$3-SUM(AZ$4:AZ72)</f>
        <v>343406561.15000004</v>
      </c>
      <c r="DC72" s="399" t="e">
        <f>+DC$3-SUM(BA$4:BA72)</f>
        <v>#REF!</v>
      </c>
      <c r="DD72" s="399">
        <f>+DD$3-SUM(BB$4:BB72)</f>
        <v>0</v>
      </c>
      <c r="DE72" s="909">
        <f>+DE$3-SUM(BC$4:BC72)-92181740.83</f>
        <v>0</v>
      </c>
      <c r="DF72" s="909">
        <f>+DF$3-SUM(BD$4:BD72)-18926732.95</f>
        <v>0</v>
      </c>
      <c r="DG72" s="909">
        <f>+DG$3-SUM(BE$4:BE72)</f>
        <v>0</v>
      </c>
      <c r="DH72" s="909">
        <f>+DH$3-SUM(BF$4:BF72)-50230768.95</f>
        <v>0</v>
      </c>
      <c r="DI72" s="909">
        <f>+DI$3-SUM(BG$4:BG72)-46082480.22</f>
        <v>0</v>
      </c>
      <c r="DJ72" s="909">
        <f>+DJ$3-SUM(BH$4:BH72)-30366967.3</f>
        <v>0</v>
      </c>
      <c r="DK72" s="909">
        <f>+DK$3-SUM(BI$4:BI72)-115469145.59</f>
        <v>0</v>
      </c>
      <c r="DL72" s="909">
        <f>+DL$3-SUM(BJ$4:BJ72)-16458028.65</f>
        <v>0</v>
      </c>
    </row>
    <row r="73" spans="1:116" s="106" customFormat="1">
      <c r="A73" s="391">
        <v>41141</v>
      </c>
      <c r="B73" s="393">
        <v>0</v>
      </c>
      <c r="C73" s="393">
        <v>0</v>
      </c>
      <c r="D73" s="393">
        <v>0</v>
      </c>
      <c r="E73" s="393">
        <v>0</v>
      </c>
      <c r="F73" s="393">
        <v>0</v>
      </c>
      <c r="G73" s="393">
        <v>249600761.0020853</v>
      </c>
      <c r="H73" s="393">
        <v>500000000</v>
      </c>
      <c r="I73" s="393">
        <v>0</v>
      </c>
      <c r="J73" s="393">
        <v>0</v>
      </c>
      <c r="K73" s="393">
        <v>0</v>
      </c>
      <c r="L73" s="393">
        <v>0</v>
      </c>
      <c r="M73" s="393">
        <v>0</v>
      </c>
      <c r="N73" s="393">
        <v>0</v>
      </c>
      <c r="O73" s="393">
        <v>0</v>
      </c>
      <c r="P73" s="393">
        <v>0</v>
      </c>
      <c r="Q73" s="393">
        <v>0</v>
      </c>
      <c r="R73" s="394">
        <f t="shared" si="77"/>
        <v>749600761.00208533</v>
      </c>
      <c r="S73" s="1240">
        <v>41141</v>
      </c>
      <c r="T73" s="1241">
        <f t="shared" si="95"/>
        <v>0</v>
      </c>
      <c r="U73" s="1241">
        <f t="shared" si="96"/>
        <v>0</v>
      </c>
      <c r="V73" s="1241">
        <f t="shared" si="97"/>
        <v>0</v>
      </c>
      <c r="W73" s="1241">
        <f t="shared" si="98"/>
        <v>0</v>
      </c>
      <c r="X73" s="1241">
        <f t="shared" si="99"/>
        <v>0</v>
      </c>
      <c r="Y73" s="1241">
        <f t="shared" si="100"/>
        <v>93805800.150000006</v>
      </c>
      <c r="Z73" s="1241">
        <f t="shared" si="101"/>
        <v>0</v>
      </c>
      <c r="AA73" s="1241">
        <f t="shared" si="102"/>
        <v>0</v>
      </c>
      <c r="AB73" s="1241">
        <f t="shared" si="103"/>
        <v>0</v>
      </c>
      <c r="AC73" s="1241">
        <f t="shared" si="104"/>
        <v>0</v>
      </c>
      <c r="AD73" s="1241">
        <f t="shared" si="105"/>
        <v>0</v>
      </c>
      <c r="AE73" s="1241">
        <f t="shared" si="106"/>
        <v>0</v>
      </c>
      <c r="AF73" s="1241">
        <f t="shared" si="107"/>
        <v>0</v>
      </c>
      <c r="AG73" s="1241">
        <f t="shared" si="108"/>
        <v>0</v>
      </c>
      <c r="AH73" s="1241">
        <f t="shared" si="109"/>
        <v>0</v>
      </c>
      <c r="AI73" s="1241">
        <f t="shared" si="110"/>
        <v>0</v>
      </c>
      <c r="AJ73" s="1241">
        <f t="shared" si="111"/>
        <v>93805800.150000006</v>
      </c>
      <c r="AK73" s="396"/>
      <c r="AL73" s="391">
        <v>41141</v>
      </c>
      <c r="AM73" s="397">
        <f t="shared" si="112"/>
        <v>749600761.00208533</v>
      </c>
      <c r="AN73" s="397">
        <f t="shared" si="113"/>
        <v>0</v>
      </c>
      <c r="AO73" s="397">
        <f t="shared" si="114"/>
        <v>0</v>
      </c>
      <c r="AP73" s="397">
        <f t="shared" si="115"/>
        <v>0</v>
      </c>
      <c r="AQ73" s="397">
        <f t="shared" si="78"/>
        <v>749600761.00208533</v>
      </c>
      <c r="AR73" s="353"/>
      <c r="AT73" s="391">
        <v>41141</v>
      </c>
      <c r="AU73" s="63">
        <v>0</v>
      </c>
      <c r="AV73" s="63">
        <v>0</v>
      </c>
      <c r="AW73" s="63">
        <v>0</v>
      </c>
      <c r="AX73" s="63">
        <v>0</v>
      </c>
      <c r="AY73" s="63">
        <v>0</v>
      </c>
      <c r="AZ73" s="85">
        <v>93805800.150000006</v>
      </c>
      <c r="BA73" s="63">
        <v>0</v>
      </c>
      <c r="BB73" s="63">
        <v>0</v>
      </c>
      <c r="BC73" s="63">
        <v>0</v>
      </c>
      <c r="BD73" s="63">
        <v>0</v>
      </c>
      <c r="BE73" s="63">
        <v>0</v>
      </c>
      <c r="BF73" s="63">
        <v>0</v>
      </c>
      <c r="BG73" s="63">
        <v>0</v>
      </c>
      <c r="BH73" s="63">
        <v>0</v>
      </c>
      <c r="BI73" s="63">
        <v>0</v>
      </c>
      <c r="BJ73" s="63">
        <v>0</v>
      </c>
      <c r="BL73" s="391">
        <v>41141</v>
      </c>
      <c r="BM73" s="397">
        <f t="shared" si="79"/>
        <v>0</v>
      </c>
      <c r="BN73" s="397">
        <f t="shared" si="80"/>
        <v>0</v>
      </c>
      <c r="BO73" s="397">
        <f t="shared" si="81"/>
        <v>0</v>
      </c>
      <c r="BP73" s="397">
        <f t="shared" si="82"/>
        <v>0</v>
      </c>
      <c r="BQ73" s="397">
        <f t="shared" si="83"/>
        <v>0</v>
      </c>
      <c r="BR73" s="397">
        <f t="shared" si="84"/>
        <v>0</v>
      </c>
      <c r="BS73" s="397">
        <f t="shared" si="85"/>
        <v>0</v>
      </c>
      <c r="BT73" s="397">
        <f t="shared" si="86"/>
        <v>0</v>
      </c>
      <c r="BU73" s="397">
        <f t="shared" si="87"/>
        <v>0</v>
      </c>
      <c r="BV73" s="397">
        <f t="shared" si="88"/>
        <v>0</v>
      </c>
      <c r="BW73" s="397">
        <f t="shared" si="89"/>
        <v>0</v>
      </c>
      <c r="BX73" s="397">
        <f t="shared" si="90"/>
        <v>0</v>
      </c>
      <c r="BY73" s="397">
        <f t="shared" si="91"/>
        <v>0</v>
      </c>
      <c r="BZ73" s="397">
        <f t="shared" si="92"/>
        <v>0</v>
      </c>
      <c r="CA73" s="397">
        <f t="shared" si="93"/>
        <v>0</v>
      </c>
      <c r="CB73" s="397">
        <f t="shared" si="94"/>
        <v>0</v>
      </c>
      <c r="CC73" s="391">
        <v>41141</v>
      </c>
      <c r="CD73" s="397">
        <f t="shared" si="116"/>
        <v>0</v>
      </c>
      <c r="CE73" s="397">
        <f t="shared" si="117"/>
        <v>0</v>
      </c>
      <c r="CF73" s="397">
        <f t="shared" si="118"/>
        <v>0</v>
      </c>
      <c r="CG73" s="397">
        <f t="shared" si="119"/>
        <v>0</v>
      </c>
      <c r="CH73" s="397">
        <f t="shared" si="120"/>
        <v>0</v>
      </c>
      <c r="CI73" s="397">
        <f t="shared" si="121"/>
        <v>0</v>
      </c>
      <c r="CJ73" s="397" t="e">
        <f t="shared" si="122"/>
        <v>#REF!</v>
      </c>
      <c r="CK73" s="397">
        <f t="shared" si="123"/>
        <v>0</v>
      </c>
      <c r="CL73" s="397">
        <f t="shared" si="124"/>
        <v>0</v>
      </c>
      <c r="CM73" s="397">
        <f t="shared" si="125"/>
        <v>0</v>
      </c>
      <c r="CN73" s="397">
        <f t="shared" si="126"/>
        <v>0</v>
      </c>
      <c r="CO73" s="397">
        <f t="shared" si="127"/>
        <v>0</v>
      </c>
      <c r="CP73" s="397">
        <f t="shared" si="128"/>
        <v>0</v>
      </c>
      <c r="CQ73" s="397">
        <f t="shared" si="129"/>
        <v>0</v>
      </c>
      <c r="CR73" s="397">
        <f t="shared" si="130"/>
        <v>-1000000</v>
      </c>
      <c r="CS73" s="397">
        <f t="shared" si="131"/>
        <v>0</v>
      </c>
      <c r="CT73" s="398" t="e">
        <f t="shared" si="132"/>
        <v>#REF!</v>
      </c>
      <c r="CV73" s="391">
        <v>41141</v>
      </c>
      <c r="CW73" s="399">
        <f>+CW$3-SUM(AU$4:AU73)-0.02</f>
        <v>-1.9073486328541334E-8</v>
      </c>
      <c r="CX73" s="399">
        <f>+CX$3-SUM(AV$4:AV73)</f>
        <v>0</v>
      </c>
      <c r="CY73" s="399">
        <f>+CY$3-SUM(AW$4:AW73)</f>
        <v>0</v>
      </c>
      <c r="CZ73" s="399">
        <f>+CZ$3-SUM(AX$4:AX73)</f>
        <v>9.9999904632568359E-3</v>
      </c>
      <c r="DA73" s="909">
        <f>+DA$3-SUM(AY$4:AY73)-447582604.18</f>
        <v>0</v>
      </c>
      <c r="DB73" s="399">
        <f>+DB$3-SUM(AZ$4:AZ73)</f>
        <v>249600761</v>
      </c>
      <c r="DC73" s="399" t="e">
        <f>+DC$3-SUM(BA$4:BA73)</f>
        <v>#REF!</v>
      </c>
      <c r="DD73" s="399">
        <f>+DD$3-SUM(BB$4:BB73)</f>
        <v>0</v>
      </c>
      <c r="DE73" s="909">
        <f>+DE$3-SUM(BC$4:BC73)-92181740.83</f>
        <v>0</v>
      </c>
      <c r="DF73" s="909">
        <f>+DF$3-SUM(BD$4:BD73)-18926732.95</f>
        <v>0</v>
      </c>
      <c r="DG73" s="909">
        <f>+DG$3-SUM(BE$4:BE73)</f>
        <v>0</v>
      </c>
      <c r="DH73" s="909">
        <f>+DH$3-SUM(BF$4:BF73)-50230768.95</f>
        <v>0</v>
      </c>
      <c r="DI73" s="909">
        <f>+DI$3-SUM(BG$4:BG73)-46082480.22</f>
        <v>0</v>
      </c>
      <c r="DJ73" s="909">
        <f>+DJ$3-SUM(BH$4:BH73)-30366967.3</f>
        <v>0</v>
      </c>
      <c r="DK73" s="909">
        <f>+DK$3-SUM(BI$4:BI73)-115469145.59</f>
        <v>0</v>
      </c>
      <c r="DL73" s="909">
        <f>+DL$3-SUM(BJ$4:BJ73)-16458028.65</f>
        <v>0</v>
      </c>
    </row>
    <row r="74" spans="1:116" s="106" customFormat="1">
      <c r="A74" s="391">
        <v>41172</v>
      </c>
      <c r="B74" s="393">
        <v>0</v>
      </c>
      <c r="C74" s="393">
        <v>0</v>
      </c>
      <c r="D74" s="393">
        <v>0</v>
      </c>
      <c r="E74" s="393">
        <v>0</v>
      </c>
      <c r="F74" s="393">
        <v>0</v>
      </c>
      <c r="G74" s="393">
        <v>249600761.0020853</v>
      </c>
      <c r="H74" s="393">
        <v>500000000</v>
      </c>
      <c r="I74" s="393">
        <v>0</v>
      </c>
      <c r="J74" s="393">
        <v>0</v>
      </c>
      <c r="K74" s="393">
        <v>0</v>
      </c>
      <c r="L74" s="393">
        <v>0</v>
      </c>
      <c r="M74" s="393">
        <v>0</v>
      </c>
      <c r="N74" s="393">
        <v>0</v>
      </c>
      <c r="O74" s="393">
        <v>0</v>
      </c>
      <c r="P74" s="393">
        <v>0</v>
      </c>
      <c r="Q74" s="393">
        <v>0</v>
      </c>
      <c r="R74" s="394">
        <f t="shared" si="77"/>
        <v>749600761.00208533</v>
      </c>
      <c r="S74" s="391">
        <v>41172</v>
      </c>
      <c r="T74" s="395">
        <f t="shared" si="95"/>
        <v>0</v>
      </c>
      <c r="U74" s="395">
        <f t="shared" si="96"/>
        <v>0</v>
      </c>
      <c r="V74" s="395">
        <f t="shared" si="97"/>
        <v>0</v>
      </c>
      <c r="W74" s="395">
        <f t="shared" si="98"/>
        <v>0</v>
      </c>
      <c r="X74" s="395">
        <f t="shared" si="99"/>
        <v>0</v>
      </c>
      <c r="Y74" s="395">
        <f t="shared" si="100"/>
        <v>0</v>
      </c>
      <c r="Z74" s="395">
        <f t="shared" si="101"/>
        <v>0</v>
      </c>
      <c r="AA74" s="395">
        <f t="shared" si="102"/>
        <v>0</v>
      </c>
      <c r="AB74" s="395">
        <f t="shared" si="103"/>
        <v>0</v>
      </c>
      <c r="AC74" s="395">
        <f t="shared" si="104"/>
        <v>0</v>
      </c>
      <c r="AD74" s="395">
        <f t="shared" si="105"/>
        <v>0</v>
      </c>
      <c r="AE74" s="395">
        <f t="shared" si="106"/>
        <v>0</v>
      </c>
      <c r="AF74" s="395">
        <f t="shared" si="107"/>
        <v>0</v>
      </c>
      <c r="AG74" s="395">
        <f t="shared" si="108"/>
        <v>0</v>
      </c>
      <c r="AH74" s="395">
        <f t="shared" si="109"/>
        <v>0</v>
      </c>
      <c r="AI74" s="395">
        <f t="shared" si="110"/>
        <v>0</v>
      </c>
      <c r="AJ74" s="395">
        <f t="shared" si="111"/>
        <v>0</v>
      </c>
      <c r="AK74" s="396"/>
      <c r="AL74" s="391">
        <v>41172</v>
      </c>
      <c r="AM74" s="397">
        <f t="shared" si="112"/>
        <v>749600761.00208533</v>
      </c>
      <c r="AN74" s="397">
        <f t="shared" si="113"/>
        <v>0</v>
      </c>
      <c r="AO74" s="397">
        <f t="shared" si="114"/>
        <v>0</v>
      </c>
      <c r="AP74" s="397">
        <f t="shared" si="115"/>
        <v>0</v>
      </c>
      <c r="AQ74" s="397">
        <f t="shared" si="78"/>
        <v>749600761.00208533</v>
      </c>
      <c r="AR74" s="353"/>
      <c r="AT74" s="391">
        <v>41172</v>
      </c>
      <c r="AU74" s="63">
        <v>0</v>
      </c>
      <c r="AV74" s="63">
        <v>0</v>
      </c>
      <c r="AW74" s="63">
        <v>0</v>
      </c>
      <c r="AX74" s="63">
        <v>0</v>
      </c>
      <c r="AY74" s="63">
        <v>0</v>
      </c>
      <c r="AZ74" s="63">
        <v>0</v>
      </c>
      <c r="BA74" s="63">
        <v>0</v>
      </c>
      <c r="BB74" s="63">
        <v>0</v>
      </c>
      <c r="BC74" s="63">
        <v>0</v>
      </c>
      <c r="BD74" s="63">
        <v>0</v>
      </c>
      <c r="BE74" s="63">
        <v>0</v>
      </c>
      <c r="BF74" s="63">
        <v>0</v>
      </c>
      <c r="BG74" s="63">
        <v>0</v>
      </c>
      <c r="BH74" s="63">
        <v>0</v>
      </c>
      <c r="BI74" s="63">
        <v>0</v>
      </c>
      <c r="BJ74" s="63">
        <v>0</v>
      </c>
      <c r="BL74" s="391">
        <v>41172</v>
      </c>
      <c r="BM74" s="397">
        <f t="shared" si="79"/>
        <v>0</v>
      </c>
      <c r="BN74" s="397">
        <f t="shared" si="80"/>
        <v>0</v>
      </c>
      <c r="BO74" s="397">
        <f t="shared" si="81"/>
        <v>0</v>
      </c>
      <c r="BP74" s="397">
        <f t="shared" si="82"/>
        <v>0</v>
      </c>
      <c r="BQ74" s="397">
        <f t="shared" si="83"/>
        <v>0</v>
      </c>
      <c r="BR74" s="397">
        <f t="shared" si="84"/>
        <v>0</v>
      </c>
      <c r="BS74" s="397">
        <f t="shared" si="85"/>
        <v>0</v>
      </c>
      <c r="BT74" s="397">
        <f t="shared" si="86"/>
        <v>0</v>
      </c>
      <c r="BU74" s="397">
        <f t="shared" si="87"/>
        <v>0</v>
      </c>
      <c r="BV74" s="397">
        <f t="shared" si="88"/>
        <v>0</v>
      </c>
      <c r="BW74" s="397">
        <f t="shared" si="89"/>
        <v>0</v>
      </c>
      <c r="BX74" s="397">
        <f t="shared" si="90"/>
        <v>0</v>
      </c>
      <c r="BY74" s="397">
        <f t="shared" si="91"/>
        <v>0</v>
      </c>
      <c r="BZ74" s="397">
        <f t="shared" si="92"/>
        <v>0</v>
      </c>
      <c r="CA74" s="397">
        <f t="shared" si="93"/>
        <v>0</v>
      </c>
      <c r="CB74" s="397">
        <f t="shared" si="94"/>
        <v>0</v>
      </c>
      <c r="CC74" s="391">
        <v>41172</v>
      </c>
      <c r="CD74" s="397">
        <f t="shared" si="116"/>
        <v>0</v>
      </c>
      <c r="CE74" s="397">
        <f t="shared" si="117"/>
        <v>0</v>
      </c>
      <c r="CF74" s="397">
        <f t="shared" si="118"/>
        <v>0</v>
      </c>
      <c r="CG74" s="397">
        <f t="shared" si="119"/>
        <v>0</v>
      </c>
      <c r="CH74" s="397">
        <f t="shared" si="120"/>
        <v>0</v>
      </c>
      <c r="CI74" s="397">
        <f t="shared" si="121"/>
        <v>0</v>
      </c>
      <c r="CJ74" s="397" t="e">
        <f t="shared" si="122"/>
        <v>#REF!</v>
      </c>
      <c r="CK74" s="397">
        <f t="shared" si="123"/>
        <v>0</v>
      </c>
      <c r="CL74" s="397">
        <f t="shared" si="124"/>
        <v>0</v>
      </c>
      <c r="CM74" s="397">
        <f t="shared" si="125"/>
        <v>0</v>
      </c>
      <c r="CN74" s="397">
        <f t="shared" si="126"/>
        <v>0</v>
      </c>
      <c r="CO74" s="397">
        <f t="shared" si="127"/>
        <v>0</v>
      </c>
      <c r="CP74" s="397">
        <f t="shared" si="128"/>
        <v>0</v>
      </c>
      <c r="CQ74" s="397">
        <f t="shared" si="129"/>
        <v>0</v>
      </c>
      <c r="CR74" s="397">
        <f t="shared" si="130"/>
        <v>-1000000</v>
      </c>
      <c r="CS74" s="397">
        <f t="shared" si="131"/>
        <v>0</v>
      </c>
      <c r="CT74" s="398" t="e">
        <f t="shared" si="132"/>
        <v>#REF!</v>
      </c>
      <c r="CV74" s="391">
        <v>41172</v>
      </c>
      <c r="CW74" s="399">
        <f>+CW$3-SUM(AU$4:AU74)-0.02</f>
        <v>-1.9073486328541334E-8</v>
      </c>
      <c r="CX74" s="399">
        <f>+CX$3-SUM(AV$4:AV74)</f>
        <v>0</v>
      </c>
      <c r="CY74" s="399">
        <f>+CY$3-SUM(AW$4:AW74)</f>
        <v>0</v>
      </c>
      <c r="CZ74" s="399">
        <f>+CZ$3-SUM(AX$4:AX74)</f>
        <v>9.9999904632568359E-3</v>
      </c>
      <c r="DA74" s="909">
        <f>+DA$3-SUM(AY$4:AY74)-447582604.18</f>
        <v>0</v>
      </c>
      <c r="DB74" s="399">
        <f>+DB$3-SUM(AZ$4:AZ74)</f>
        <v>249600761</v>
      </c>
      <c r="DC74" s="399" t="e">
        <f>+DC$3-SUM(BA$4:BA74)</f>
        <v>#REF!</v>
      </c>
      <c r="DD74" s="399">
        <f>+DD$3-SUM(BB$4:BB74)</f>
        <v>0</v>
      </c>
      <c r="DE74" s="909">
        <f>+DE$3-SUM(BC$4:BC74)-92181740.83</f>
        <v>0</v>
      </c>
      <c r="DF74" s="909">
        <f>+DF$3-SUM(BD$4:BD74)-18926732.95</f>
        <v>0</v>
      </c>
      <c r="DG74" s="909">
        <f>+DG$3-SUM(BE$4:BE74)</f>
        <v>0</v>
      </c>
      <c r="DH74" s="909">
        <f>+DH$3-SUM(BF$4:BF74)-50230768.95</f>
        <v>0</v>
      </c>
      <c r="DI74" s="909">
        <f>+DI$3-SUM(BG$4:BG74)-46082480.22</f>
        <v>0</v>
      </c>
      <c r="DJ74" s="909">
        <f>+DJ$3-SUM(BH$4:BH74)-30366967.3</f>
        <v>0</v>
      </c>
      <c r="DK74" s="909">
        <f>+DK$3-SUM(BI$4:BI74)-115469145.59</f>
        <v>0</v>
      </c>
      <c r="DL74" s="909">
        <f>+DL$3-SUM(BJ$4:BJ74)-16458028.65</f>
        <v>0</v>
      </c>
    </row>
    <row r="75" spans="1:116" s="106" customFormat="1">
      <c r="A75" s="391">
        <v>41202</v>
      </c>
      <c r="B75" s="393">
        <v>0</v>
      </c>
      <c r="C75" s="393">
        <v>0</v>
      </c>
      <c r="D75" s="393">
        <v>0</v>
      </c>
      <c r="E75" s="393">
        <v>0</v>
      </c>
      <c r="F75" s="393">
        <v>0</v>
      </c>
      <c r="G75" s="393">
        <v>249600761.0020853</v>
      </c>
      <c r="H75" s="393">
        <v>500000000</v>
      </c>
      <c r="I75" s="393">
        <v>0</v>
      </c>
      <c r="J75" s="393">
        <v>0</v>
      </c>
      <c r="K75" s="393">
        <v>0</v>
      </c>
      <c r="L75" s="393">
        <v>0</v>
      </c>
      <c r="M75" s="393">
        <v>0</v>
      </c>
      <c r="N75" s="393">
        <v>0</v>
      </c>
      <c r="O75" s="393">
        <v>0</v>
      </c>
      <c r="P75" s="393">
        <v>0</v>
      </c>
      <c r="Q75" s="393">
        <v>0</v>
      </c>
      <c r="R75" s="394">
        <f t="shared" si="77"/>
        <v>749600761.00208533</v>
      </c>
      <c r="S75" s="391">
        <v>41202</v>
      </c>
      <c r="T75" s="395">
        <f t="shared" si="95"/>
        <v>0</v>
      </c>
      <c r="U75" s="395">
        <f t="shared" si="96"/>
        <v>0</v>
      </c>
      <c r="V75" s="395">
        <f t="shared" si="97"/>
        <v>0</v>
      </c>
      <c r="W75" s="395">
        <f t="shared" si="98"/>
        <v>0</v>
      </c>
      <c r="X75" s="395">
        <f t="shared" si="99"/>
        <v>0</v>
      </c>
      <c r="Y75" s="395">
        <f t="shared" si="100"/>
        <v>0</v>
      </c>
      <c r="Z75" s="395">
        <f t="shared" si="101"/>
        <v>0</v>
      </c>
      <c r="AA75" s="395">
        <f t="shared" si="102"/>
        <v>0</v>
      </c>
      <c r="AB75" s="395">
        <f t="shared" si="103"/>
        <v>0</v>
      </c>
      <c r="AC75" s="395">
        <f t="shared" si="104"/>
        <v>0</v>
      </c>
      <c r="AD75" s="395">
        <f t="shared" si="105"/>
        <v>0</v>
      </c>
      <c r="AE75" s="395">
        <f t="shared" si="106"/>
        <v>0</v>
      </c>
      <c r="AF75" s="395">
        <f t="shared" si="107"/>
        <v>0</v>
      </c>
      <c r="AG75" s="395">
        <f t="shared" si="108"/>
        <v>0</v>
      </c>
      <c r="AH75" s="395">
        <f t="shared" si="109"/>
        <v>0</v>
      </c>
      <c r="AI75" s="395">
        <f t="shared" si="110"/>
        <v>0</v>
      </c>
      <c r="AJ75" s="395">
        <f t="shared" si="111"/>
        <v>0</v>
      </c>
      <c r="AK75" s="396"/>
      <c r="AL75" s="391">
        <v>41202</v>
      </c>
      <c r="AM75" s="397">
        <f t="shared" si="112"/>
        <v>749600761.00208533</v>
      </c>
      <c r="AN75" s="397">
        <f t="shared" si="113"/>
        <v>0</v>
      </c>
      <c r="AO75" s="397">
        <f t="shared" si="114"/>
        <v>0</v>
      </c>
      <c r="AP75" s="397">
        <f t="shared" si="115"/>
        <v>0</v>
      </c>
      <c r="AQ75" s="397">
        <f t="shared" si="78"/>
        <v>749600761.00208533</v>
      </c>
      <c r="AR75" s="353"/>
      <c r="AT75" s="391">
        <v>41202</v>
      </c>
      <c r="AU75" s="63">
        <v>0</v>
      </c>
      <c r="AV75" s="63">
        <v>0</v>
      </c>
      <c r="AW75" s="63">
        <v>0</v>
      </c>
      <c r="AX75" s="63">
        <v>0</v>
      </c>
      <c r="AY75" s="63">
        <v>0</v>
      </c>
      <c r="AZ75" s="63">
        <v>0</v>
      </c>
      <c r="BA75" s="63">
        <v>0</v>
      </c>
      <c r="BB75" s="63">
        <v>0</v>
      </c>
      <c r="BC75" s="63">
        <v>0</v>
      </c>
      <c r="BD75" s="63">
        <v>0</v>
      </c>
      <c r="BE75" s="63">
        <v>0</v>
      </c>
      <c r="BF75" s="63">
        <v>0</v>
      </c>
      <c r="BG75" s="63">
        <v>0</v>
      </c>
      <c r="BH75" s="63">
        <v>0</v>
      </c>
      <c r="BI75" s="63">
        <v>0</v>
      </c>
      <c r="BJ75" s="63">
        <v>0</v>
      </c>
      <c r="BL75" s="391">
        <v>41202</v>
      </c>
      <c r="BM75" s="397">
        <f t="shared" si="79"/>
        <v>0</v>
      </c>
      <c r="BN75" s="397">
        <f t="shared" si="80"/>
        <v>0</v>
      </c>
      <c r="BO75" s="397">
        <f t="shared" si="81"/>
        <v>0</v>
      </c>
      <c r="BP75" s="397">
        <f t="shared" si="82"/>
        <v>0</v>
      </c>
      <c r="BQ75" s="397">
        <f t="shared" si="83"/>
        <v>0</v>
      </c>
      <c r="BR75" s="397">
        <f t="shared" si="84"/>
        <v>0</v>
      </c>
      <c r="BS75" s="397">
        <f t="shared" si="85"/>
        <v>0</v>
      </c>
      <c r="BT75" s="397">
        <f t="shared" si="86"/>
        <v>0</v>
      </c>
      <c r="BU75" s="397">
        <f t="shared" si="87"/>
        <v>0</v>
      </c>
      <c r="BV75" s="397">
        <f t="shared" si="88"/>
        <v>0</v>
      </c>
      <c r="BW75" s="397">
        <f t="shared" si="89"/>
        <v>0</v>
      </c>
      <c r="BX75" s="397">
        <f t="shared" si="90"/>
        <v>0</v>
      </c>
      <c r="BY75" s="397">
        <f t="shared" si="91"/>
        <v>0</v>
      </c>
      <c r="BZ75" s="397">
        <f t="shared" si="92"/>
        <v>0</v>
      </c>
      <c r="CA75" s="397">
        <f t="shared" si="93"/>
        <v>0</v>
      </c>
      <c r="CB75" s="397">
        <f t="shared" si="94"/>
        <v>0</v>
      </c>
      <c r="CC75" s="391">
        <v>41202</v>
      </c>
      <c r="CD75" s="397">
        <f t="shared" si="116"/>
        <v>0</v>
      </c>
      <c r="CE75" s="397">
        <f t="shared" si="117"/>
        <v>0</v>
      </c>
      <c r="CF75" s="397">
        <f t="shared" si="118"/>
        <v>0</v>
      </c>
      <c r="CG75" s="397">
        <f t="shared" si="119"/>
        <v>0</v>
      </c>
      <c r="CH75" s="397">
        <f t="shared" si="120"/>
        <v>0</v>
      </c>
      <c r="CI75" s="397">
        <f t="shared" si="121"/>
        <v>0</v>
      </c>
      <c r="CJ75" s="397" t="e">
        <f t="shared" si="122"/>
        <v>#REF!</v>
      </c>
      <c r="CK75" s="397">
        <f t="shared" si="123"/>
        <v>0</v>
      </c>
      <c r="CL75" s="397">
        <f t="shared" si="124"/>
        <v>0</v>
      </c>
      <c r="CM75" s="397">
        <f t="shared" si="125"/>
        <v>0</v>
      </c>
      <c r="CN75" s="397">
        <f t="shared" si="126"/>
        <v>0</v>
      </c>
      <c r="CO75" s="397">
        <f t="shared" si="127"/>
        <v>0</v>
      </c>
      <c r="CP75" s="397">
        <f t="shared" si="128"/>
        <v>0</v>
      </c>
      <c r="CQ75" s="397">
        <f t="shared" si="129"/>
        <v>0</v>
      </c>
      <c r="CR75" s="397">
        <f t="shared" si="130"/>
        <v>-1000000</v>
      </c>
      <c r="CS75" s="397">
        <f t="shared" si="131"/>
        <v>0</v>
      </c>
      <c r="CT75" s="398" t="e">
        <f t="shared" si="132"/>
        <v>#REF!</v>
      </c>
      <c r="CV75" s="391">
        <v>41202</v>
      </c>
      <c r="CW75" s="399">
        <f>+CW$3-SUM(AU$4:AU75)-0.02</f>
        <v>-1.9073486328541334E-8</v>
      </c>
      <c r="CX75" s="399">
        <f>+CX$3-SUM(AV$4:AV75)</f>
        <v>0</v>
      </c>
      <c r="CY75" s="399">
        <f>+CY$3-SUM(AW$4:AW75)</f>
        <v>0</v>
      </c>
      <c r="CZ75" s="399">
        <f>+CZ$3-SUM(AX$4:AX75)</f>
        <v>9.9999904632568359E-3</v>
      </c>
      <c r="DA75" s="909">
        <f>+DA$3-SUM(AY$4:AY75)-447582604.18</f>
        <v>0</v>
      </c>
      <c r="DB75" s="399">
        <f>+DB$3-SUM(AZ$4:AZ75)</f>
        <v>249600761</v>
      </c>
      <c r="DC75" s="399" t="e">
        <f>+DC$3-SUM(BA$4:BA75)</f>
        <v>#REF!</v>
      </c>
      <c r="DD75" s="399">
        <f>+DD$3-SUM(BB$4:BB75)</f>
        <v>0</v>
      </c>
      <c r="DE75" s="909">
        <f>+DE$3-SUM(BC$4:BC75)-92181740.83</f>
        <v>0</v>
      </c>
      <c r="DF75" s="909">
        <f>+DF$3-SUM(BD$4:BD75)-18926732.95</f>
        <v>0</v>
      </c>
      <c r="DG75" s="909">
        <f>+DG$3-SUM(BE$4:BE75)</f>
        <v>0</v>
      </c>
      <c r="DH75" s="909">
        <f>+DH$3-SUM(BF$4:BF75)-50230768.95</f>
        <v>0</v>
      </c>
      <c r="DI75" s="909">
        <f>+DI$3-SUM(BG$4:BG75)-46082480.22</f>
        <v>0</v>
      </c>
      <c r="DJ75" s="909">
        <f>+DJ$3-SUM(BH$4:BH75)-30366967.3</f>
        <v>0</v>
      </c>
      <c r="DK75" s="909">
        <f>+DK$3-SUM(BI$4:BI75)-115469145.59</f>
        <v>0</v>
      </c>
      <c r="DL75" s="909">
        <f>+DL$3-SUM(BJ$4:BJ75)-16458028.65</f>
        <v>0</v>
      </c>
    </row>
    <row r="76" spans="1:116" s="106" customFormat="1">
      <c r="A76" s="391">
        <v>41233</v>
      </c>
      <c r="B76" s="393">
        <v>0</v>
      </c>
      <c r="C76" s="393">
        <v>0</v>
      </c>
      <c r="D76" s="393">
        <v>0</v>
      </c>
      <c r="E76" s="393">
        <v>0</v>
      </c>
      <c r="F76" s="393">
        <v>0</v>
      </c>
      <c r="G76" s="393">
        <v>160884712.63857263</v>
      </c>
      <c r="H76" s="393">
        <v>500000000</v>
      </c>
      <c r="I76" s="393">
        <v>0</v>
      </c>
      <c r="J76" s="393">
        <v>0</v>
      </c>
      <c r="K76" s="393">
        <v>0</v>
      </c>
      <c r="L76" s="393">
        <v>0</v>
      </c>
      <c r="M76" s="393">
        <v>0</v>
      </c>
      <c r="N76" s="393">
        <v>0</v>
      </c>
      <c r="O76" s="393">
        <v>0</v>
      </c>
      <c r="P76" s="393">
        <v>0</v>
      </c>
      <c r="Q76" s="393">
        <v>0</v>
      </c>
      <c r="R76" s="394">
        <f t="shared" si="77"/>
        <v>660884712.63857269</v>
      </c>
      <c r="S76" s="391">
        <v>41233</v>
      </c>
      <c r="T76" s="395">
        <f t="shared" si="95"/>
        <v>0</v>
      </c>
      <c r="U76" s="395">
        <f t="shared" si="96"/>
        <v>0</v>
      </c>
      <c r="V76" s="395">
        <f t="shared" si="97"/>
        <v>0</v>
      </c>
      <c r="W76" s="395">
        <f t="shared" si="98"/>
        <v>0</v>
      </c>
      <c r="X76" s="395">
        <f t="shared" si="99"/>
        <v>0</v>
      </c>
      <c r="Y76" s="395">
        <f t="shared" si="100"/>
        <v>88716048.359999999</v>
      </c>
      <c r="Z76" s="395">
        <f t="shared" si="101"/>
        <v>0</v>
      </c>
      <c r="AA76" s="395">
        <f t="shared" si="102"/>
        <v>0</v>
      </c>
      <c r="AB76" s="395">
        <f t="shared" si="103"/>
        <v>0</v>
      </c>
      <c r="AC76" s="395">
        <f t="shared" si="104"/>
        <v>0</v>
      </c>
      <c r="AD76" s="395">
        <f t="shared" si="105"/>
        <v>0</v>
      </c>
      <c r="AE76" s="395">
        <f t="shared" si="106"/>
        <v>0</v>
      </c>
      <c r="AF76" s="395">
        <f t="shared" si="107"/>
        <v>0</v>
      </c>
      <c r="AG76" s="395">
        <f t="shared" si="108"/>
        <v>0</v>
      </c>
      <c r="AH76" s="395">
        <f t="shared" si="109"/>
        <v>0</v>
      </c>
      <c r="AI76" s="395">
        <f t="shared" si="110"/>
        <v>0</v>
      </c>
      <c r="AJ76" s="395">
        <f t="shared" si="111"/>
        <v>88716048.359999999</v>
      </c>
      <c r="AK76" s="396"/>
      <c r="AL76" s="391">
        <v>41233</v>
      </c>
      <c r="AM76" s="397">
        <f t="shared" si="112"/>
        <v>660884712.63857269</v>
      </c>
      <c r="AN76" s="397">
        <f t="shared" si="113"/>
        <v>0</v>
      </c>
      <c r="AO76" s="397">
        <f t="shared" si="114"/>
        <v>0</v>
      </c>
      <c r="AP76" s="397">
        <f t="shared" si="115"/>
        <v>0</v>
      </c>
      <c r="AQ76" s="397">
        <f t="shared" si="78"/>
        <v>660884712.63857269</v>
      </c>
      <c r="AR76" s="353"/>
      <c r="AT76" s="391">
        <v>41233</v>
      </c>
      <c r="AU76" s="63">
        <v>0</v>
      </c>
      <c r="AV76" s="63">
        <v>0</v>
      </c>
      <c r="AW76" s="63">
        <v>0</v>
      </c>
      <c r="AX76" s="63">
        <v>0</v>
      </c>
      <c r="AY76" s="63">
        <v>0</v>
      </c>
      <c r="AZ76" s="85">
        <v>88716048.359999999</v>
      </c>
      <c r="BA76" s="63">
        <v>0</v>
      </c>
      <c r="BB76" s="63">
        <v>0</v>
      </c>
      <c r="BC76" s="63">
        <v>0</v>
      </c>
      <c r="BD76" s="63">
        <v>0</v>
      </c>
      <c r="BE76" s="63">
        <v>0</v>
      </c>
      <c r="BF76" s="63">
        <v>0</v>
      </c>
      <c r="BG76" s="63">
        <v>0</v>
      </c>
      <c r="BH76" s="63">
        <v>0</v>
      </c>
      <c r="BI76" s="63">
        <v>0</v>
      </c>
      <c r="BJ76" s="63">
        <v>0</v>
      </c>
      <c r="BL76" s="391">
        <v>41233</v>
      </c>
      <c r="BM76" s="397">
        <f t="shared" si="79"/>
        <v>0</v>
      </c>
      <c r="BN76" s="397">
        <f t="shared" si="80"/>
        <v>0</v>
      </c>
      <c r="BO76" s="397">
        <f t="shared" si="81"/>
        <v>0</v>
      </c>
      <c r="BP76" s="397">
        <f t="shared" si="82"/>
        <v>0</v>
      </c>
      <c r="BQ76" s="397">
        <f t="shared" si="83"/>
        <v>0</v>
      </c>
      <c r="BR76" s="397">
        <f t="shared" si="84"/>
        <v>0</v>
      </c>
      <c r="BS76" s="397">
        <f t="shared" si="85"/>
        <v>0</v>
      </c>
      <c r="BT76" s="397">
        <f t="shared" si="86"/>
        <v>0</v>
      </c>
      <c r="BU76" s="397">
        <f t="shared" si="87"/>
        <v>0</v>
      </c>
      <c r="BV76" s="397">
        <f t="shared" si="88"/>
        <v>0</v>
      </c>
      <c r="BW76" s="397">
        <f t="shared" si="89"/>
        <v>0</v>
      </c>
      <c r="BX76" s="397">
        <f t="shared" si="90"/>
        <v>0</v>
      </c>
      <c r="BY76" s="397">
        <f t="shared" si="91"/>
        <v>0</v>
      </c>
      <c r="BZ76" s="397">
        <f t="shared" si="92"/>
        <v>0</v>
      </c>
      <c r="CA76" s="397">
        <f t="shared" si="93"/>
        <v>0</v>
      </c>
      <c r="CB76" s="397">
        <f t="shared" si="94"/>
        <v>0</v>
      </c>
      <c r="CC76" s="391">
        <v>41233</v>
      </c>
      <c r="CD76" s="397">
        <f t="shared" si="116"/>
        <v>0</v>
      </c>
      <c r="CE76" s="397">
        <f t="shared" si="117"/>
        <v>0</v>
      </c>
      <c r="CF76" s="397">
        <f t="shared" si="118"/>
        <v>0</v>
      </c>
      <c r="CG76" s="397">
        <f t="shared" si="119"/>
        <v>0</v>
      </c>
      <c r="CH76" s="397">
        <f t="shared" si="120"/>
        <v>0</v>
      </c>
      <c r="CI76" s="397">
        <f t="shared" si="121"/>
        <v>0</v>
      </c>
      <c r="CJ76" s="397" t="e">
        <f t="shared" si="122"/>
        <v>#REF!</v>
      </c>
      <c r="CK76" s="397">
        <f t="shared" si="123"/>
        <v>0</v>
      </c>
      <c r="CL76" s="397">
        <f t="shared" si="124"/>
        <v>0</v>
      </c>
      <c r="CM76" s="397">
        <f t="shared" si="125"/>
        <v>0</v>
      </c>
      <c r="CN76" s="397">
        <f t="shared" si="126"/>
        <v>0</v>
      </c>
      <c r="CO76" s="397">
        <f t="shared" si="127"/>
        <v>0</v>
      </c>
      <c r="CP76" s="397">
        <f t="shared" si="128"/>
        <v>0</v>
      </c>
      <c r="CQ76" s="397">
        <f t="shared" si="129"/>
        <v>0</v>
      </c>
      <c r="CR76" s="397">
        <f t="shared" si="130"/>
        <v>-1000000</v>
      </c>
      <c r="CS76" s="397">
        <f t="shared" si="131"/>
        <v>0</v>
      </c>
      <c r="CT76" s="398" t="e">
        <f t="shared" si="132"/>
        <v>#REF!</v>
      </c>
      <c r="CV76" s="391">
        <v>41233</v>
      </c>
      <c r="CW76" s="399">
        <f>+CW$3-SUM(AU$4:AU76)-0.02</f>
        <v>-1.9073486328541334E-8</v>
      </c>
      <c r="CX76" s="399">
        <f>+CX$3-SUM(AV$4:AV76)</f>
        <v>0</v>
      </c>
      <c r="CY76" s="399">
        <f>+CY$3-SUM(AW$4:AW76)</f>
        <v>0</v>
      </c>
      <c r="CZ76" s="399">
        <f>+CZ$3-SUM(AX$4:AX76)</f>
        <v>9.9999904632568359E-3</v>
      </c>
      <c r="DA76" s="909">
        <f>+DA$3-SUM(AY$4:AY76)-447582604.18</f>
        <v>0</v>
      </c>
      <c r="DB76" s="399">
        <f>+DB$3-SUM(AZ$4:AZ76)</f>
        <v>160884712.63999999</v>
      </c>
      <c r="DC76" s="399" t="e">
        <f>+DC$3-SUM(BA$4:BA76)</f>
        <v>#REF!</v>
      </c>
      <c r="DD76" s="399">
        <f>+DD$3-SUM(BB$4:BB76)</f>
        <v>0</v>
      </c>
      <c r="DE76" s="909">
        <f>+DE$3-SUM(BC$4:BC76)-92181740.83</f>
        <v>0</v>
      </c>
      <c r="DF76" s="909">
        <f>+DF$3-SUM(BD$4:BD76)-18926732.95</f>
        <v>0</v>
      </c>
      <c r="DG76" s="909">
        <f>+DG$3-SUM(BE$4:BE76)</f>
        <v>0</v>
      </c>
      <c r="DH76" s="909">
        <f>+DH$3-SUM(BF$4:BF76)-50230768.95</f>
        <v>0</v>
      </c>
      <c r="DI76" s="909">
        <f>+DI$3-SUM(BG$4:BG76)-46082480.22</f>
        <v>0</v>
      </c>
      <c r="DJ76" s="909">
        <f>+DJ$3-SUM(BH$4:BH76)-30366967.3</f>
        <v>0</v>
      </c>
      <c r="DK76" s="909">
        <f>+DK$3-SUM(BI$4:BI76)-115469145.59</f>
        <v>0</v>
      </c>
      <c r="DL76" s="909">
        <f>+DL$3-SUM(BJ$4:BJ76)-16458028.65</f>
        <v>0</v>
      </c>
    </row>
    <row r="77" spans="1:116" s="106" customFormat="1">
      <c r="A77" s="391">
        <v>41263</v>
      </c>
      <c r="B77" s="393">
        <v>0</v>
      </c>
      <c r="C77" s="393">
        <v>0</v>
      </c>
      <c r="D77" s="393">
        <v>0</v>
      </c>
      <c r="E77" s="393">
        <v>0</v>
      </c>
      <c r="F77" s="393">
        <v>0</v>
      </c>
      <c r="G77" s="393">
        <v>160884712.63857263</v>
      </c>
      <c r="H77" s="393">
        <v>500000000</v>
      </c>
      <c r="I77" s="393">
        <v>0</v>
      </c>
      <c r="J77" s="393">
        <v>0</v>
      </c>
      <c r="K77" s="393">
        <v>0</v>
      </c>
      <c r="L77" s="393">
        <v>0</v>
      </c>
      <c r="M77" s="393">
        <v>0</v>
      </c>
      <c r="N77" s="393">
        <v>0</v>
      </c>
      <c r="O77" s="393">
        <v>0</v>
      </c>
      <c r="P77" s="393">
        <v>0</v>
      </c>
      <c r="Q77" s="393">
        <v>0</v>
      </c>
      <c r="R77" s="394">
        <f t="shared" si="77"/>
        <v>660884712.63857269</v>
      </c>
      <c r="S77" s="391">
        <v>41263</v>
      </c>
      <c r="T77" s="395">
        <f t="shared" si="95"/>
        <v>0</v>
      </c>
      <c r="U77" s="395">
        <f t="shared" si="96"/>
        <v>0</v>
      </c>
      <c r="V77" s="395">
        <f t="shared" si="97"/>
        <v>0</v>
      </c>
      <c r="W77" s="395">
        <f t="shared" si="98"/>
        <v>0</v>
      </c>
      <c r="X77" s="395">
        <f t="shared" si="99"/>
        <v>0</v>
      </c>
      <c r="Y77" s="395">
        <f t="shared" si="100"/>
        <v>0</v>
      </c>
      <c r="Z77" s="395">
        <f t="shared" si="101"/>
        <v>0</v>
      </c>
      <c r="AA77" s="395">
        <f t="shared" si="102"/>
        <v>0</v>
      </c>
      <c r="AB77" s="395">
        <f t="shared" si="103"/>
        <v>0</v>
      </c>
      <c r="AC77" s="395">
        <f t="shared" si="104"/>
        <v>0</v>
      </c>
      <c r="AD77" s="395">
        <f t="shared" si="105"/>
        <v>0</v>
      </c>
      <c r="AE77" s="395">
        <f t="shared" si="106"/>
        <v>0</v>
      </c>
      <c r="AF77" s="395">
        <f t="shared" si="107"/>
        <v>0</v>
      </c>
      <c r="AG77" s="395">
        <f t="shared" si="108"/>
        <v>0</v>
      </c>
      <c r="AH77" s="395">
        <f t="shared" si="109"/>
        <v>0</v>
      </c>
      <c r="AI77" s="395">
        <f t="shared" si="110"/>
        <v>0</v>
      </c>
      <c r="AJ77" s="395">
        <f t="shared" si="111"/>
        <v>0</v>
      </c>
      <c r="AK77" s="396"/>
      <c r="AL77" s="391">
        <v>41263</v>
      </c>
      <c r="AM77" s="397">
        <f t="shared" si="112"/>
        <v>660884712.63857269</v>
      </c>
      <c r="AN77" s="397">
        <f t="shared" si="113"/>
        <v>0</v>
      </c>
      <c r="AO77" s="397">
        <f t="shared" si="114"/>
        <v>0</v>
      </c>
      <c r="AP77" s="397">
        <f t="shared" si="115"/>
        <v>0</v>
      </c>
      <c r="AQ77" s="397">
        <f t="shared" si="78"/>
        <v>660884712.63857269</v>
      </c>
      <c r="AR77" s="353"/>
      <c r="AT77" s="391">
        <v>41263</v>
      </c>
      <c r="AU77" s="63">
        <v>0</v>
      </c>
      <c r="AV77" s="63">
        <v>0</v>
      </c>
      <c r="AW77" s="63">
        <v>0</v>
      </c>
      <c r="AX77" s="63">
        <v>0</v>
      </c>
      <c r="AY77" s="63">
        <v>0</v>
      </c>
      <c r="AZ77" s="63">
        <v>0</v>
      </c>
      <c r="BA77" s="63">
        <v>0</v>
      </c>
      <c r="BB77" s="63">
        <v>0</v>
      </c>
      <c r="BC77" s="63">
        <v>0</v>
      </c>
      <c r="BD77" s="63">
        <v>0</v>
      </c>
      <c r="BE77" s="63">
        <v>0</v>
      </c>
      <c r="BF77" s="63">
        <v>0</v>
      </c>
      <c r="BG77" s="63">
        <v>0</v>
      </c>
      <c r="BH77" s="63">
        <v>0</v>
      </c>
      <c r="BI77" s="63">
        <v>0</v>
      </c>
      <c r="BJ77" s="63">
        <v>0</v>
      </c>
      <c r="BL77" s="391">
        <v>41263</v>
      </c>
      <c r="BM77" s="397">
        <f t="shared" si="79"/>
        <v>0</v>
      </c>
      <c r="BN77" s="397">
        <f t="shared" si="80"/>
        <v>0</v>
      </c>
      <c r="BO77" s="397">
        <f t="shared" si="81"/>
        <v>0</v>
      </c>
      <c r="BP77" s="397">
        <f t="shared" si="82"/>
        <v>0</v>
      </c>
      <c r="BQ77" s="397">
        <f t="shared" si="83"/>
        <v>0</v>
      </c>
      <c r="BR77" s="397">
        <f t="shared" si="84"/>
        <v>0</v>
      </c>
      <c r="BS77" s="397">
        <f t="shared" si="85"/>
        <v>0</v>
      </c>
      <c r="BT77" s="397">
        <f t="shared" si="86"/>
        <v>0</v>
      </c>
      <c r="BU77" s="397">
        <f t="shared" si="87"/>
        <v>0</v>
      </c>
      <c r="BV77" s="397">
        <f t="shared" si="88"/>
        <v>0</v>
      </c>
      <c r="BW77" s="397">
        <f t="shared" si="89"/>
        <v>0</v>
      </c>
      <c r="BX77" s="397">
        <f t="shared" si="90"/>
        <v>0</v>
      </c>
      <c r="BY77" s="397">
        <f t="shared" si="91"/>
        <v>0</v>
      </c>
      <c r="BZ77" s="397">
        <f t="shared" si="92"/>
        <v>0</v>
      </c>
      <c r="CA77" s="397">
        <f t="shared" si="93"/>
        <v>0</v>
      </c>
      <c r="CB77" s="397">
        <f t="shared" si="94"/>
        <v>0</v>
      </c>
      <c r="CC77" s="391">
        <v>41263</v>
      </c>
      <c r="CD77" s="397">
        <f t="shared" si="116"/>
        <v>0</v>
      </c>
      <c r="CE77" s="397">
        <f t="shared" si="117"/>
        <v>0</v>
      </c>
      <c r="CF77" s="397">
        <f t="shared" si="118"/>
        <v>0</v>
      </c>
      <c r="CG77" s="397">
        <f t="shared" si="119"/>
        <v>0</v>
      </c>
      <c r="CH77" s="397">
        <f t="shared" si="120"/>
        <v>0</v>
      </c>
      <c r="CI77" s="397">
        <f t="shared" si="121"/>
        <v>0</v>
      </c>
      <c r="CJ77" s="397" t="e">
        <f t="shared" si="122"/>
        <v>#REF!</v>
      </c>
      <c r="CK77" s="397">
        <f t="shared" si="123"/>
        <v>0</v>
      </c>
      <c r="CL77" s="397">
        <f t="shared" si="124"/>
        <v>0</v>
      </c>
      <c r="CM77" s="397">
        <f t="shared" si="125"/>
        <v>0</v>
      </c>
      <c r="CN77" s="397">
        <f t="shared" si="126"/>
        <v>0</v>
      </c>
      <c r="CO77" s="397">
        <f t="shared" si="127"/>
        <v>0</v>
      </c>
      <c r="CP77" s="397">
        <f t="shared" si="128"/>
        <v>0</v>
      </c>
      <c r="CQ77" s="397">
        <f t="shared" si="129"/>
        <v>0</v>
      </c>
      <c r="CR77" s="397">
        <f t="shared" si="130"/>
        <v>-1000000</v>
      </c>
      <c r="CS77" s="397">
        <f t="shared" si="131"/>
        <v>0</v>
      </c>
      <c r="CT77" s="398" t="e">
        <f t="shared" si="132"/>
        <v>#REF!</v>
      </c>
      <c r="CV77" s="391">
        <v>41263</v>
      </c>
      <c r="CW77" s="399">
        <f>+CW$3-SUM(AU$4:AU77)-0.02</f>
        <v>-1.9073486328541334E-8</v>
      </c>
      <c r="CX77" s="399">
        <f>+CX$3-SUM(AV$4:AV77)</f>
        <v>0</v>
      </c>
      <c r="CY77" s="399">
        <f>+CY$3-SUM(AW$4:AW77)</f>
        <v>0</v>
      </c>
      <c r="CZ77" s="399">
        <f>+CZ$3-SUM(AX$4:AX77)</f>
        <v>9.9999904632568359E-3</v>
      </c>
      <c r="DA77" s="909">
        <f>+DA$3-SUM(AY$4:AY77)-447582604.18</f>
        <v>0</v>
      </c>
      <c r="DB77" s="399">
        <f>+DB$3-SUM(AZ$4:AZ77)</f>
        <v>160884712.63999999</v>
      </c>
      <c r="DC77" s="399" t="e">
        <f>+DC$3-SUM(BA$4:BA77)</f>
        <v>#REF!</v>
      </c>
      <c r="DD77" s="399">
        <f>+DD$3-SUM(BB$4:BB77)</f>
        <v>0</v>
      </c>
      <c r="DE77" s="909">
        <f>+DE$3-SUM(BC$4:BC77)-92181740.83</f>
        <v>0</v>
      </c>
      <c r="DF77" s="909">
        <f>+DF$3-SUM(BD$4:BD77)-18926732.95</f>
        <v>0</v>
      </c>
      <c r="DG77" s="909">
        <f>+DG$3-SUM(BE$4:BE77)</f>
        <v>0</v>
      </c>
      <c r="DH77" s="909">
        <f>+DH$3-SUM(BF$4:BF77)-50230768.95</f>
        <v>0</v>
      </c>
      <c r="DI77" s="909">
        <f>+DI$3-SUM(BG$4:BG77)-46082480.22</f>
        <v>0</v>
      </c>
      <c r="DJ77" s="909">
        <f>+DJ$3-SUM(BH$4:BH77)-30366967.3</f>
        <v>0</v>
      </c>
      <c r="DK77" s="909">
        <f>+DK$3-SUM(BI$4:BI77)-115469145.59</f>
        <v>0</v>
      </c>
      <c r="DL77" s="909">
        <f>+DL$3-SUM(BJ$4:BJ77)-16458028.65</f>
        <v>0</v>
      </c>
    </row>
    <row r="78" spans="1:116" s="106" customFormat="1">
      <c r="A78" s="391">
        <v>41294</v>
      </c>
      <c r="B78" s="393">
        <v>0</v>
      </c>
      <c r="C78" s="393">
        <v>0</v>
      </c>
      <c r="D78" s="393">
        <v>0</v>
      </c>
      <c r="E78" s="393">
        <v>0</v>
      </c>
      <c r="F78" s="393">
        <v>0</v>
      </c>
      <c r="G78" s="393">
        <v>160884712.63857263</v>
      </c>
      <c r="H78" s="393">
        <v>500000000</v>
      </c>
      <c r="I78" s="393">
        <v>0</v>
      </c>
      <c r="J78" s="393">
        <v>0</v>
      </c>
      <c r="K78" s="393">
        <v>0</v>
      </c>
      <c r="L78" s="393">
        <v>0</v>
      </c>
      <c r="M78" s="393">
        <v>0</v>
      </c>
      <c r="N78" s="393">
        <v>0</v>
      </c>
      <c r="O78" s="393">
        <v>0</v>
      </c>
      <c r="P78" s="393">
        <v>0</v>
      </c>
      <c r="Q78" s="393">
        <v>0</v>
      </c>
      <c r="R78" s="394">
        <f t="shared" si="77"/>
        <v>660884712.63857269</v>
      </c>
      <c r="S78" s="391">
        <v>41294</v>
      </c>
      <c r="T78" s="395">
        <f t="shared" si="95"/>
        <v>0</v>
      </c>
      <c r="U78" s="395">
        <f t="shared" si="96"/>
        <v>0</v>
      </c>
      <c r="V78" s="395">
        <f t="shared" si="97"/>
        <v>0</v>
      </c>
      <c r="W78" s="395">
        <f t="shared" si="98"/>
        <v>0</v>
      </c>
      <c r="X78" s="395">
        <f t="shared" si="99"/>
        <v>0</v>
      </c>
      <c r="Y78" s="395">
        <f t="shared" si="100"/>
        <v>0</v>
      </c>
      <c r="Z78" s="395">
        <f t="shared" si="101"/>
        <v>0</v>
      </c>
      <c r="AA78" s="395">
        <f t="shared" si="102"/>
        <v>0</v>
      </c>
      <c r="AB78" s="395">
        <f t="shared" si="103"/>
        <v>0</v>
      </c>
      <c r="AC78" s="395">
        <f t="shared" si="104"/>
        <v>0</v>
      </c>
      <c r="AD78" s="395">
        <f t="shared" si="105"/>
        <v>0</v>
      </c>
      <c r="AE78" s="395">
        <f t="shared" si="106"/>
        <v>0</v>
      </c>
      <c r="AF78" s="395">
        <f t="shared" si="107"/>
        <v>0</v>
      </c>
      <c r="AG78" s="395">
        <f t="shared" si="108"/>
        <v>0</v>
      </c>
      <c r="AH78" s="395">
        <f t="shared" si="109"/>
        <v>0</v>
      </c>
      <c r="AI78" s="395">
        <f t="shared" si="110"/>
        <v>0</v>
      </c>
      <c r="AJ78" s="395">
        <f t="shared" si="111"/>
        <v>0</v>
      </c>
      <c r="AK78" s="396"/>
      <c r="AL78" s="391">
        <v>41294</v>
      </c>
      <c r="AM78" s="397">
        <f t="shared" si="112"/>
        <v>660884712.63857269</v>
      </c>
      <c r="AN78" s="397">
        <f t="shared" si="113"/>
        <v>0</v>
      </c>
      <c r="AO78" s="397">
        <f t="shared" si="114"/>
        <v>0</v>
      </c>
      <c r="AP78" s="397">
        <f t="shared" si="115"/>
        <v>0</v>
      </c>
      <c r="AQ78" s="397">
        <f t="shared" si="78"/>
        <v>660884712.63857269</v>
      </c>
      <c r="AR78" s="353"/>
      <c r="AT78" s="391">
        <v>41294</v>
      </c>
      <c r="AU78" s="63">
        <v>0</v>
      </c>
      <c r="AV78" s="63">
        <v>0</v>
      </c>
      <c r="AW78" s="63">
        <v>0</v>
      </c>
      <c r="AX78" s="63">
        <v>0</v>
      </c>
      <c r="AY78" s="63">
        <v>0</v>
      </c>
      <c r="AZ78" s="63">
        <v>0</v>
      </c>
      <c r="BA78" s="63">
        <v>0</v>
      </c>
      <c r="BB78" s="63">
        <v>0</v>
      </c>
      <c r="BC78" s="63">
        <v>0</v>
      </c>
      <c r="BD78" s="63">
        <v>0</v>
      </c>
      <c r="BE78" s="63">
        <v>0</v>
      </c>
      <c r="BF78" s="63">
        <v>0</v>
      </c>
      <c r="BG78" s="63">
        <v>0</v>
      </c>
      <c r="BH78" s="63">
        <v>0</v>
      </c>
      <c r="BI78" s="63">
        <v>0</v>
      </c>
      <c r="BJ78" s="63">
        <v>0</v>
      </c>
      <c r="BL78" s="391">
        <v>41294</v>
      </c>
      <c r="BM78" s="397">
        <f t="shared" si="79"/>
        <v>0</v>
      </c>
      <c r="BN78" s="397">
        <f t="shared" si="80"/>
        <v>0</v>
      </c>
      <c r="BO78" s="397">
        <f t="shared" si="81"/>
        <v>0</v>
      </c>
      <c r="BP78" s="397">
        <f t="shared" si="82"/>
        <v>0</v>
      </c>
      <c r="BQ78" s="397">
        <f t="shared" si="83"/>
        <v>0</v>
      </c>
      <c r="BR78" s="397">
        <f t="shared" si="84"/>
        <v>0</v>
      </c>
      <c r="BS78" s="397">
        <f t="shared" si="85"/>
        <v>0</v>
      </c>
      <c r="BT78" s="397">
        <f t="shared" si="86"/>
        <v>0</v>
      </c>
      <c r="BU78" s="397">
        <f t="shared" si="87"/>
        <v>0</v>
      </c>
      <c r="BV78" s="397">
        <f t="shared" si="88"/>
        <v>0</v>
      </c>
      <c r="BW78" s="397">
        <f t="shared" si="89"/>
        <v>0</v>
      </c>
      <c r="BX78" s="397">
        <f t="shared" si="90"/>
        <v>0</v>
      </c>
      <c r="BY78" s="397">
        <f t="shared" si="91"/>
        <v>0</v>
      </c>
      <c r="BZ78" s="397">
        <f t="shared" si="92"/>
        <v>0</v>
      </c>
      <c r="CA78" s="397">
        <f t="shared" si="93"/>
        <v>0</v>
      </c>
      <c r="CB78" s="397">
        <f t="shared" si="94"/>
        <v>0</v>
      </c>
      <c r="CC78" s="391">
        <v>41294</v>
      </c>
      <c r="CD78" s="397">
        <f t="shared" si="116"/>
        <v>0</v>
      </c>
      <c r="CE78" s="397">
        <f t="shared" si="117"/>
        <v>0</v>
      </c>
      <c r="CF78" s="397">
        <f t="shared" si="118"/>
        <v>0</v>
      </c>
      <c r="CG78" s="397">
        <f t="shared" si="119"/>
        <v>0</v>
      </c>
      <c r="CH78" s="397">
        <f t="shared" si="120"/>
        <v>0</v>
      </c>
      <c r="CI78" s="397">
        <f t="shared" si="121"/>
        <v>0</v>
      </c>
      <c r="CJ78" s="397" t="e">
        <f t="shared" si="122"/>
        <v>#REF!</v>
      </c>
      <c r="CK78" s="397">
        <f t="shared" si="123"/>
        <v>0</v>
      </c>
      <c r="CL78" s="397">
        <f t="shared" si="124"/>
        <v>0</v>
      </c>
      <c r="CM78" s="397">
        <f t="shared" si="125"/>
        <v>0</v>
      </c>
      <c r="CN78" s="397">
        <f t="shared" si="126"/>
        <v>0</v>
      </c>
      <c r="CO78" s="397">
        <f t="shared" si="127"/>
        <v>0</v>
      </c>
      <c r="CP78" s="397">
        <f t="shared" si="128"/>
        <v>0</v>
      </c>
      <c r="CQ78" s="397">
        <f t="shared" si="129"/>
        <v>0</v>
      </c>
      <c r="CR78" s="397">
        <f t="shared" si="130"/>
        <v>-1000000</v>
      </c>
      <c r="CS78" s="397">
        <f t="shared" si="131"/>
        <v>0</v>
      </c>
      <c r="CT78" s="398" t="e">
        <f t="shared" si="132"/>
        <v>#REF!</v>
      </c>
      <c r="CV78" s="391">
        <v>41294</v>
      </c>
      <c r="CW78" s="399">
        <f>+CW$3-SUM(AU$4:AU78)-0.02</f>
        <v>-1.9073486328541334E-8</v>
      </c>
      <c r="CX78" s="399">
        <f>+CX$3-SUM(AV$4:AV78)</f>
        <v>0</v>
      </c>
      <c r="CY78" s="399">
        <f>+CY$3-SUM(AW$4:AW78)</f>
        <v>0</v>
      </c>
      <c r="CZ78" s="399">
        <f>+CZ$3-SUM(AX$4:AX78)</f>
        <v>9.9999904632568359E-3</v>
      </c>
      <c r="DA78" s="909">
        <f>+DA$3-SUM(AY$4:AY78)-447582604.18</f>
        <v>0</v>
      </c>
      <c r="DB78" s="399">
        <f>+DB$3-SUM(AZ$4:AZ78)</f>
        <v>160884712.63999999</v>
      </c>
      <c r="DC78" s="399" t="e">
        <f>+DC$3-SUM(BA$4:BA78)</f>
        <v>#REF!</v>
      </c>
      <c r="DD78" s="399">
        <f>+DD$3-SUM(BB$4:BB78)</f>
        <v>0</v>
      </c>
      <c r="DE78" s="909">
        <f>+DE$3-SUM(BC$4:BC78)-92181740.83</f>
        <v>0</v>
      </c>
      <c r="DF78" s="909">
        <f>+DF$3-SUM(BD$4:BD78)-18926732.95</f>
        <v>0</v>
      </c>
      <c r="DG78" s="909">
        <f>+DG$3-SUM(BE$4:BE78)</f>
        <v>0</v>
      </c>
      <c r="DH78" s="909">
        <f>+DH$3-SUM(BF$4:BF78)-50230768.95</f>
        <v>0</v>
      </c>
      <c r="DI78" s="909">
        <f>+DI$3-SUM(BG$4:BG78)-46082480.22</f>
        <v>0</v>
      </c>
      <c r="DJ78" s="909">
        <f>+DJ$3-SUM(BH$4:BH78)-30366967.3</f>
        <v>0</v>
      </c>
      <c r="DK78" s="909">
        <f>+DK$3-SUM(BI$4:BI78)-115469145.59</f>
        <v>0</v>
      </c>
      <c r="DL78" s="909">
        <f>+DL$3-SUM(BJ$4:BJ78)-16458028.65</f>
        <v>0</v>
      </c>
    </row>
    <row r="79" spans="1:116" s="106" customFormat="1">
      <c r="A79" s="391">
        <v>41325</v>
      </c>
      <c r="B79" s="393">
        <v>0</v>
      </c>
      <c r="C79" s="393">
        <v>0</v>
      </c>
      <c r="D79" s="393">
        <v>0</v>
      </c>
      <c r="E79" s="393">
        <v>0</v>
      </c>
      <c r="F79" s="393">
        <v>0</v>
      </c>
      <c r="G79" s="393">
        <v>76982254.314860642</v>
      </c>
      <c r="H79" s="393">
        <v>500000000</v>
      </c>
      <c r="I79" s="393">
        <v>0</v>
      </c>
      <c r="J79" s="393">
        <v>0</v>
      </c>
      <c r="K79" s="393">
        <v>0</v>
      </c>
      <c r="L79" s="393">
        <v>0</v>
      </c>
      <c r="M79" s="393">
        <v>0</v>
      </c>
      <c r="N79" s="393">
        <v>0</v>
      </c>
      <c r="O79" s="393">
        <v>0</v>
      </c>
      <c r="P79" s="393">
        <v>0</v>
      </c>
      <c r="Q79" s="393">
        <v>0</v>
      </c>
      <c r="R79" s="394">
        <f t="shared" si="77"/>
        <v>576982254.31486058</v>
      </c>
      <c r="S79" s="391">
        <v>41325</v>
      </c>
      <c r="T79" s="395">
        <f t="shared" si="95"/>
        <v>0</v>
      </c>
      <c r="U79" s="395">
        <f t="shared" si="96"/>
        <v>0</v>
      </c>
      <c r="V79" s="395">
        <f t="shared" si="97"/>
        <v>0</v>
      </c>
      <c r="W79" s="395">
        <f t="shared" si="98"/>
        <v>0</v>
      </c>
      <c r="X79" s="395">
        <f t="shared" si="99"/>
        <v>0</v>
      </c>
      <c r="Y79" s="395">
        <f t="shared" si="100"/>
        <v>83902458.319999993</v>
      </c>
      <c r="Z79" s="395">
        <f t="shared" si="101"/>
        <v>0</v>
      </c>
      <c r="AA79" s="395">
        <f t="shared" si="102"/>
        <v>0</v>
      </c>
      <c r="AB79" s="395">
        <f t="shared" si="103"/>
        <v>0</v>
      </c>
      <c r="AC79" s="395">
        <f t="shared" si="104"/>
        <v>0</v>
      </c>
      <c r="AD79" s="395">
        <f t="shared" si="105"/>
        <v>0</v>
      </c>
      <c r="AE79" s="395">
        <f t="shared" si="106"/>
        <v>0</v>
      </c>
      <c r="AF79" s="395">
        <f t="shared" si="107"/>
        <v>0</v>
      </c>
      <c r="AG79" s="395">
        <f t="shared" si="108"/>
        <v>0</v>
      </c>
      <c r="AH79" s="395">
        <f t="shared" si="109"/>
        <v>0</v>
      </c>
      <c r="AI79" s="395">
        <f t="shared" si="110"/>
        <v>0</v>
      </c>
      <c r="AJ79" s="395">
        <f t="shared" si="111"/>
        <v>83902458.319999993</v>
      </c>
      <c r="AK79" s="396"/>
      <c r="AL79" s="391">
        <v>41325</v>
      </c>
      <c r="AM79" s="397">
        <f t="shared" si="112"/>
        <v>576982254.31486058</v>
      </c>
      <c r="AN79" s="397">
        <f t="shared" si="113"/>
        <v>0</v>
      </c>
      <c r="AO79" s="397">
        <f t="shared" si="114"/>
        <v>0</v>
      </c>
      <c r="AP79" s="397">
        <f t="shared" si="115"/>
        <v>0</v>
      </c>
      <c r="AQ79" s="397">
        <f t="shared" si="78"/>
        <v>576982254.31486058</v>
      </c>
      <c r="AR79" s="353"/>
      <c r="AT79" s="391">
        <v>41325</v>
      </c>
      <c r="AU79" s="63">
        <v>0</v>
      </c>
      <c r="AV79" s="63">
        <v>0</v>
      </c>
      <c r="AW79" s="63">
        <v>0</v>
      </c>
      <c r="AX79" s="63">
        <v>0</v>
      </c>
      <c r="AY79" s="63">
        <v>0</v>
      </c>
      <c r="AZ79" s="85">
        <v>83902458.319999993</v>
      </c>
      <c r="BA79" s="63">
        <v>0</v>
      </c>
      <c r="BB79" s="63">
        <v>0</v>
      </c>
      <c r="BC79" s="63">
        <v>0</v>
      </c>
      <c r="BD79" s="63">
        <v>0</v>
      </c>
      <c r="BE79" s="63">
        <v>0</v>
      </c>
      <c r="BF79" s="63">
        <v>0</v>
      </c>
      <c r="BG79" s="63">
        <v>0</v>
      </c>
      <c r="BH79" s="63">
        <v>0</v>
      </c>
      <c r="BI79" s="63">
        <v>0</v>
      </c>
      <c r="BJ79" s="63">
        <v>0</v>
      </c>
      <c r="BL79" s="391">
        <v>41325</v>
      </c>
      <c r="BM79" s="397">
        <f t="shared" si="79"/>
        <v>0</v>
      </c>
      <c r="BN79" s="397">
        <f t="shared" si="80"/>
        <v>0</v>
      </c>
      <c r="BO79" s="397">
        <f t="shared" si="81"/>
        <v>0</v>
      </c>
      <c r="BP79" s="397">
        <f t="shared" si="82"/>
        <v>0</v>
      </c>
      <c r="BQ79" s="397">
        <f t="shared" si="83"/>
        <v>0</v>
      </c>
      <c r="BR79" s="397">
        <f t="shared" si="84"/>
        <v>0</v>
      </c>
      <c r="BS79" s="397">
        <f t="shared" si="85"/>
        <v>0</v>
      </c>
      <c r="BT79" s="397">
        <f t="shared" si="86"/>
        <v>0</v>
      </c>
      <c r="BU79" s="397">
        <f t="shared" si="87"/>
        <v>0</v>
      </c>
      <c r="BV79" s="397">
        <f t="shared" si="88"/>
        <v>0</v>
      </c>
      <c r="BW79" s="397">
        <f t="shared" si="89"/>
        <v>0</v>
      </c>
      <c r="BX79" s="397">
        <f t="shared" si="90"/>
        <v>0</v>
      </c>
      <c r="BY79" s="397">
        <f t="shared" si="91"/>
        <v>0</v>
      </c>
      <c r="BZ79" s="397">
        <f t="shared" si="92"/>
        <v>0</v>
      </c>
      <c r="CA79" s="397">
        <f t="shared" si="93"/>
        <v>0</v>
      </c>
      <c r="CB79" s="397">
        <f t="shared" si="94"/>
        <v>0</v>
      </c>
      <c r="CC79" s="391">
        <v>41325</v>
      </c>
      <c r="CD79" s="397">
        <f t="shared" si="116"/>
        <v>0</v>
      </c>
      <c r="CE79" s="397">
        <f t="shared" si="117"/>
        <v>0</v>
      </c>
      <c r="CF79" s="397">
        <f t="shared" si="118"/>
        <v>0</v>
      </c>
      <c r="CG79" s="397">
        <f t="shared" si="119"/>
        <v>0</v>
      </c>
      <c r="CH79" s="397">
        <f t="shared" si="120"/>
        <v>0</v>
      </c>
      <c r="CI79" s="397">
        <f t="shared" si="121"/>
        <v>0</v>
      </c>
      <c r="CJ79" s="397" t="e">
        <f t="shared" si="122"/>
        <v>#REF!</v>
      </c>
      <c r="CK79" s="397">
        <f t="shared" si="123"/>
        <v>0</v>
      </c>
      <c r="CL79" s="397">
        <f t="shared" si="124"/>
        <v>0</v>
      </c>
      <c r="CM79" s="397">
        <f t="shared" si="125"/>
        <v>0</v>
      </c>
      <c r="CN79" s="397">
        <f t="shared" si="126"/>
        <v>0</v>
      </c>
      <c r="CO79" s="397">
        <f t="shared" si="127"/>
        <v>0</v>
      </c>
      <c r="CP79" s="397">
        <f t="shared" si="128"/>
        <v>0</v>
      </c>
      <c r="CQ79" s="397">
        <f t="shared" si="129"/>
        <v>0</v>
      </c>
      <c r="CR79" s="397">
        <f t="shared" si="130"/>
        <v>-1000000</v>
      </c>
      <c r="CS79" s="397">
        <f t="shared" si="131"/>
        <v>0</v>
      </c>
      <c r="CT79" s="398" t="e">
        <f t="shared" si="132"/>
        <v>#REF!</v>
      </c>
      <c r="CV79" s="391">
        <v>41325</v>
      </c>
      <c r="CW79" s="399">
        <f>+CW$3-SUM(AU$4:AU79)-0.02</f>
        <v>-1.9073486328541334E-8</v>
      </c>
      <c r="CX79" s="399">
        <f>+CX$3-SUM(AV$4:AV79)</f>
        <v>0</v>
      </c>
      <c r="CY79" s="399">
        <f>+CY$3-SUM(AW$4:AW79)</f>
        <v>0</v>
      </c>
      <c r="CZ79" s="399">
        <f>+CZ$3-SUM(AX$4:AX79)</f>
        <v>9.9999904632568359E-3</v>
      </c>
      <c r="DA79" s="909">
        <f>+DA$3-SUM(AY$4:AY79)-447582604.18</f>
        <v>0</v>
      </c>
      <c r="DB79" s="399">
        <f>+DB$3-SUM(AZ$4:AZ79)</f>
        <v>76982254.319999993</v>
      </c>
      <c r="DC79" s="399" t="e">
        <f>+DC$3-SUM(BA$4:BA79)</f>
        <v>#REF!</v>
      </c>
      <c r="DD79" s="399">
        <f>+DD$3-SUM(BB$4:BB79)</f>
        <v>0</v>
      </c>
      <c r="DE79" s="909">
        <f>+DE$3-SUM(BC$4:BC79)-92181740.83</f>
        <v>0</v>
      </c>
      <c r="DF79" s="909">
        <f>+DF$3-SUM(BD$4:BD79)-18926732.95</f>
        <v>0</v>
      </c>
      <c r="DG79" s="909">
        <f>+DG$3-SUM(BE$4:BE79)</f>
        <v>0</v>
      </c>
      <c r="DH79" s="909">
        <f>+DH$3-SUM(BF$4:BF79)-50230768.95</f>
        <v>0</v>
      </c>
      <c r="DI79" s="909">
        <f>+DI$3-SUM(BG$4:BG79)-46082480.22</f>
        <v>0</v>
      </c>
      <c r="DJ79" s="909">
        <f>+DJ$3-SUM(BH$4:BH79)-30366967.3</f>
        <v>0</v>
      </c>
      <c r="DK79" s="909">
        <f>+DK$3-SUM(BI$4:BI79)-115469145.59</f>
        <v>0</v>
      </c>
      <c r="DL79" s="909">
        <f>+DL$3-SUM(BJ$4:BJ79)-16458028.65</f>
        <v>0</v>
      </c>
    </row>
    <row r="80" spans="1:116" s="106" customFormat="1">
      <c r="A80" s="391">
        <v>41353</v>
      </c>
      <c r="B80" s="393">
        <v>0</v>
      </c>
      <c r="C80" s="393">
        <v>0</v>
      </c>
      <c r="D80" s="393">
        <v>0</v>
      </c>
      <c r="E80" s="393">
        <v>0</v>
      </c>
      <c r="F80" s="393">
        <v>0</v>
      </c>
      <c r="G80" s="393">
        <v>76982254.314860642</v>
      </c>
      <c r="H80" s="393">
        <v>500000000</v>
      </c>
      <c r="I80" s="393">
        <v>0</v>
      </c>
      <c r="J80" s="393">
        <v>0</v>
      </c>
      <c r="K80" s="393">
        <v>0</v>
      </c>
      <c r="L80" s="393">
        <v>0</v>
      </c>
      <c r="M80" s="393">
        <v>0</v>
      </c>
      <c r="N80" s="393">
        <v>0</v>
      </c>
      <c r="O80" s="393">
        <v>0</v>
      </c>
      <c r="P80" s="393">
        <v>0</v>
      </c>
      <c r="Q80" s="393">
        <v>0</v>
      </c>
      <c r="R80" s="394">
        <f t="shared" si="77"/>
        <v>576982254.31486058</v>
      </c>
      <c r="S80" s="391">
        <v>41353</v>
      </c>
      <c r="T80" s="395">
        <f t="shared" si="95"/>
        <v>0</v>
      </c>
      <c r="U80" s="395">
        <f t="shared" si="96"/>
        <v>0</v>
      </c>
      <c r="V80" s="395">
        <f t="shared" si="97"/>
        <v>0</v>
      </c>
      <c r="W80" s="395">
        <f t="shared" si="98"/>
        <v>0</v>
      </c>
      <c r="X80" s="395">
        <f t="shared" si="99"/>
        <v>0</v>
      </c>
      <c r="Y80" s="395">
        <f t="shared" si="100"/>
        <v>0</v>
      </c>
      <c r="Z80" s="395">
        <f t="shared" si="101"/>
        <v>0</v>
      </c>
      <c r="AA80" s="395">
        <f t="shared" si="102"/>
        <v>0</v>
      </c>
      <c r="AB80" s="395">
        <f t="shared" si="103"/>
        <v>0</v>
      </c>
      <c r="AC80" s="395">
        <f t="shared" si="104"/>
        <v>0</v>
      </c>
      <c r="AD80" s="395">
        <f t="shared" si="105"/>
        <v>0</v>
      </c>
      <c r="AE80" s="395">
        <f t="shared" si="106"/>
        <v>0</v>
      </c>
      <c r="AF80" s="395">
        <f t="shared" si="107"/>
        <v>0</v>
      </c>
      <c r="AG80" s="395">
        <f t="shared" si="108"/>
        <v>0</v>
      </c>
      <c r="AH80" s="395">
        <f t="shared" si="109"/>
        <v>0</v>
      </c>
      <c r="AI80" s="395">
        <f t="shared" si="110"/>
        <v>0</v>
      </c>
      <c r="AJ80" s="395">
        <f t="shared" si="111"/>
        <v>0</v>
      </c>
      <c r="AK80" s="396"/>
      <c r="AL80" s="391">
        <v>41353</v>
      </c>
      <c r="AM80" s="397">
        <f t="shared" si="112"/>
        <v>576982254.31486058</v>
      </c>
      <c r="AN80" s="397">
        <f t="shared" si="113"/>
        <v>0</v>
      </c>
      <c r="AO80" s="397">
        <f t="shared" si="114"/>
        <v>0</v>
      </c>
      <c r="AP80" s="397">
        <f t="shared" si="115"/>
        <v>0</v>
      </c>
      <c r="AQ80" s="397">
        <f t="shared" si="78"/>
        <v>576982254.31486058</v>
      </c>
      <c r="AR80" s="353"/>
      <c r="AT80" s="391">
        <v>41353</v>
      </c>
      <c r="AU80" s="63">
        <v>0</v>
      </c>
      <c r="AV80" s="63">
        <v>0</v>
      </c>
      <c r="AW80" s="63">
        <v>0</v>
      </c>
      <c r="AX80" s="63">
        <v>0</v>
      </c>
      <c r="AY80" s="63">
        <v>0</v>
      </c>
      <c r="AZ80" s="63">
        <v>0</v>
      </c>
      <c r="BA80" s="63">
        <v>0</v>
      </c>
      <c r="BB80" s="63">
        <v>0</v>
      </c>
      <c r="BC80" s="63">
        <v>0</v>
      </c>
      <c r="BD80" s="63">
        <v>0</v>
      </c>
      <c r="BE80" s="63">
        <v>0</v>
      </c>
      <c r="BF80" s="63">
        <v>0</v>
      </c>
      <c r="BG80" s="63">
        <v>0</v>
      </c>
      <c r="BH80" s="63">
        <v>0</v>
      </c>
      <c r="BI80" s="63">
        <v>0</v>
      </c>
      <c r="BJ80" s="63">
        <v>0</v>
      </c>
      <c r="BL80" s="391">
        <v>41353</v>
      </c>
      <c r="BM80" s="397">
        <f t="shared" si="79"/>
        <v>0</v>
      </c>
      <c r="BN80" s="397">
        <f t="shared" si="80"/>
        <v>0</v>
      </c>
      <c r="BO80" s="397">
        <f t="shared" si="81"/>
        <v>0</v>
      </c>
      <c r="BP80" s="397">
        <f t="shared" si="82"/>
        <v>0</v>
      </c>
      <c r="BQ80" s="397">
        <f t="shared" si="83"/>
        <v>0</v>
      </c>
      <c r="BR80" s="397">
        <f t="shared" si="84"/>
        <v>0</v>
      </c>
      <c r="BS80" s="397">
        <f t="shared" si="85"/>
        <v>0</v>
      </c>
      <c r="BT80" s="397">
        <f t="shared" si="86"/>
        <v>0</v>
      </c>
      <c r="BU80" s="397">
        <f t="shared" si="87"/>
        <v>0</v>
      </c>
      <c r="BV80" s="397">
        <f t="shared" si="88"/>
        <v>0</v>
      </c>
      <c r="BW80" s="397">
        <f t="shared" si="89"/>
        <v>0</v>
      </c>
      <c r="BX80" s="397">
        <f t="shared" si="90"/>
        <v>0</v>
      </c>
      <c r="BY80" s="397">
        <f t="shared" si="91"/>
        <v>0</v>
      </c>
      <c r="BZ80" s="397">
        <f t="shared" si="92"/>
        <v>0</v>
      </c>
      <c r="CA80" s="397">
        <f t="shared" si="93"/>
        <v>0</v>
      </c>
      <c r="CB80" s="397">
        <f t="shared" si="94"/>
        <v>0</v>
      </c>
      <c r="CC80" s="391">
        <v>41353</v>
      </c>
      <c r="CD80" s="397">
        <f t="shared" si="116"/>
        <v>0</v>
      </c>
      <c r="CE80" s="397">
        <f t="shared" si="117"/>
        <v>0</v>
      </c>
      <c r="CF80" s="397">
        <f t="shared" si="118"/>
        <v>0</v>
      </c>
      <c r="CG80" s="397">
        <f t="shared" si="119"/>
        <v>0</v>
      </c>
      <c r="CH80" s="397">
        <f t="shared" si="120"/>
        <v>0</v>
      </c>
      <c r="CI80" s="397">
        <f t="shared" si="121"/>
        <v>0</v>
      </c>
      <c r="CJ80" s="397" t="e">
        <f t="shared" si="122"/>
        <v>#REF!</v>
      </c>
      <c r="CK80" s="397">
        <f t="shared" si="123"/>
        <v>0</v>
      </c>
      <c r="CL80" s="397">
        <f t="shared" si="124"/>
        <v>0</v>
      </c>
      <c r="CM80" s="397">
        <f t="shared" si="125"/>
        <v>0</v>
      </c>
      <c r="CN80" s="397">
        <f t="shared" si="126"/>
        <v>0</v>
      </c>
      <c r="CO80" s="397">
        <f t="shared" si="127"/>
        <v>0</v>
      </c>
      <c r="CP80" s="397">
        <f t="shared" si="128"/>
        <v>0</v>
      </c>
      <c r="CQ80" s="397">
        <f t="shared" si="129"/>
        <v>0</v>
      </c>
      <c r="CR80" s="397">
        <f t="shared" si="130"/>
        <v>-1000000</v>
      </c>
      <c r="CS80" s="397">
        <f t="shared" si="131"/>
        <v>0</v>
      </c>
      <c r="CT80" s="398" t="e">
        <f t="shared" si="132"/>
        <v>#REF!</v>
      </c>
      <c r="CV80" s="391">
        <v>41353</v>
      </c>
      <c r="CW80" s="399">
        <f>+CW$3-SUM(AU$4:AU80)-0.02</f>
        <v>-1.9073486328541334E-8</v>
      </c>
      <c r="CX80" s="399">
        <f>+CX$3-SUM(AV$4:AV80)</f>
        <v>0</v>
      </c>
      <c r="CY80" s="399">
        <f>+CY$3-SUM(AW$4:AW80)</f>
        <v>0</v>
      </c>
      <c r="CZ80" s="399">
        <f>+CZ$3-SUM(AX$4:AX80)</f>
        <v>9.9999904632568359E-3</v>
      </c>
      <c r="DA80" s="909">
        <f>+DA$3-SUM(AY$4:AY80)-447582604.18</f>
        <v>0</v>
      </c>
      <c r="DB80" s="399">
        <f>+DB$3-SUM(AZ$4:AZ80)</f>
        <v>76982254.319999993</v>
      </c>
      <c r="DC80" s="399" t="e">
        <f>+DC$3-SUM(BA$4:BA80)</f>
        <v>#REF!</v>
      </c>
      <c r="DD80" s="399">
        <f>+DD$3-SUM(BB$4:BB80)</f>
        <v>0</v>
      </c>
      <c r="DE80" s="909">
        <f>+DE$3-SUM(BC$4:BC80)-92181740.83</f>
        <v>0</v>
      </c>
      <c r="DF80" s="909">
        <f>+DF$3-SUM(BD$4:BD80)-18926732.95</f>
        <v>0</v>
      </c>
      <c r="DG80" s="909">
        <f>+DG$3-SUM(BE$4:BE80)</f>
        <v>0</v>
      </c>
      <c r="DH80" s="909">
        <f>+DH$3-SUM(BF$4:BF80)-50230768.95</f>
        <v>0</v>
      </c>
      <c r="DI80" s="909">
        <f>+DI$3-SUM(BG$4:BG80)-46082480.22</f>
        <v>0</v>
      </c>
      <c r="DJ80" s="909">
        <f>+DJ$3-SUM(BH$4:BH80)-30366967.3</f>
        <v>0</v>
      </c>
      <c r="DK80" s="909">
        <f>+DK$3-SUM(BI$4:BI80)-115469145.59</f>
        <v>0</v>
      </c>
      <c r="DL80" s="909">
        <f>+DL$3-SUM(BJ$4:BJ80)-16458028.65</f>
        <v>0</v>
      </c>
    </row>
    <row r="81" spans="1:116" s="106" customFormat="1">
      <c r="A81" s="391">
        <v>41384</v>
      </c>
      <c r="B81" s="393">
        <v>0</v>
      </c>
      <c r="C81" s="393">
        <v>0</v>
      </c>
      <c r="D81" s="393">
        <v>0</v>
      </c>
      <c r="E81" s="393">
        <v>0</v>
      </c>
      <c r="F81" s="269">
        <v>0</v>
      </c>
      <c r="G81" s="72">
        <v>76982254.314860642</v>
      </c>
      <c r="H81" s="72">
        <v>500000000</v>
      </c>
      <c r="I81" s="393">
        <v>0</v>
      </c>
      <c r="J81" s="393">
        <v>0</v>
      </c>
      <c r="K81" s="393">
        <v>0</v>
      </c>
      <c r="L81" s="393">
        <v>0</v>
      </c>
      <c r="M81" s="393">
        <v>0</v>
      </c>
      <c r="N81" s="393">
        <v>0</v>
      </c>
      <c r="O81" s="393">
        <v>0</v>
      </c>
      <c r="P81" s="393">
        <v>0</v>
      </c>
      <c r="Q81" s="393">
        <v>0</v>
      </c>
      <c r="R81" s="394">
        <f t="shared" si="77"/>
        <v>576982254.31486058</v>
      </c>
      <c r="S81" s="391">
        <v>41384</v>
      </c>
      <c r="T81" s="395">
        <f t="shared" si="95"/>
        <v>0</v>
      </c>
      <c r="U81" s="395">
        <f t="shared" si="96"/>
        <v>0</v>
      </c>
      <c r="V81" s="395">
        <f t="shared" si="97"/>
        <v>0</v>
      </c>
      <c r="W81" s="395">
        <f t="shared" si="98"/>
        <v>0</v>
      </c>
      <c r="X81" s="395">
        <f t="shared" si="99"/>
        <v>0</v>
      </c>
      <c r="Y81" s="395">
        <f t="shared" si="100"/>
        <v>0</v>
      </c>
      <c r="Z81" s="395">
        <f t="shared" si="101"/>
        <v>0</v>
      </c>
      <c r="AA81" s="395">
        <f t="shared" si="102"/>
        <v>0</v>
      </c>
      <c r="AB81" s="395">
        <f t="shared" si="103"/>
        <v>0</v>
      </c>
      <c r="AC81" s="395">
        <f t="shared" si="104"/>
        <v>0</v>
      </c>
      <c r="AD81" s="395">
        <f t="shared" si="105"/>
        <v>0</v>
      </c>
      <c r="AE81" s="395">
        <f t="shared" si="106"/>
        <v>0</v>
      </c>
      <c r="AF81" s="395">
        <f t="shared" si="107"/>
        <v>0</v>
      </c>
      <c r="AG81" s="395">
        <f t="shared" si="108"/>
        <v>0</v>
      </c>
      <c r="AH81" s="395">
        <f t="shared" si="109"/>
        <v>0</v>
      </c>
      <c r="AI81" s="395">
        <f t="shared" si="110"/>
        <v>0</v>
      </c>
      <c r="AJ81" s="395">
        <f t="shared" si="111"/>
        <v>0</v>
      </c>
      <c r="AK81" s="396"/>
      <c r="AL81" s="391">
        <v>41384</v>
      </c>
      <c r="AM81" s="397">
        <f t="shared" si="112"/>
        <v>576982254.31486058</v>
      </c>
      <c r="AN81" s="397">
        <f t="shared" si="113"/>
        <v>0</v>
      </c>
      <c r="AO81" s="397">
        <f t="shared" si="114"/>
        <v>0</v>
      </c>
      <c r="AP81" s="397">
        <f t="shared" si="115"/>
        <v>0</v>
      </c>
      <c r="AQ81" s="397">
        <f t="shared" si="78"/>
        <v>576982254.31486058</v>
      </c>
      <c r="AR81" s="353"/>
      <c r="AT81" s="391">
        <v>41384</v>
      </c>
      <c r="AU81" s="63">
        <v>0</v>
      </c>
      <c r="AV81" s="63">
        <v>0</v>
      </c>
      <c r="AW81" s="63">
        <v>0</v>
      </c>
      <c r="AX81" s="63">
        <v>0</v>
      </c>
      <c r="AY81" s="63">
        <v>0</v>
      </c>
      <c r="AZ81" s="63">
        <v>0</v>
      </c>
      <c r="BA81" s="63">
        <v>0</v>
      </c>
      <c r="BB81" s="63">
        <v>0</v>
      </c>
      <c r="BC81" s="63">
        <v>0</v>
      </c>
      <c r="BD81" s="63">
        <v>0</v>
      </c>
      <c r="BE81" s="63">
        <v>0</v>
      </c>
      <c r="BF81" s="63">
        <v>0</v>
      </c>
      <c r="BG81" s="63">
        <v>0</v>
      </c>
      <c r="BH81" s="63">
        <v>0</v>
      </c>
      <c r="BI81" s="63">
        <v>0</v>
      </c>
      <c r="BJ81" s="63">
        <v>0</v>
      </c>
      <c r="BL81" s="391">
        <v>41384</v>
      </c>
      <c r="BM81" s="397">
        <f t="shared" si="79"/>
        <v>0</v>
      </c>
      <c r="BN81" s="397">
        <f t="shared" si="80"/>
        <v>0</v>
      </c>
      <c r="BO81" s="397">
        <f t="shared" si="81"/>
        <v>0</v>
      </c>
      <c r="BP81" s="397">
        <f t="shared" si="82"/>
        <v>0</v>
      </c>
      <c r="BQ81" s="397">
        <f t="shared" si="83"/>
        <v>0</v>
      </c>
      <c r="BR81" s="397">
        <f t="shared" si="84"/>
        <v>0</v>
      </c>
      <c r="BS81" s="397">
        <f t="shared" si="85"/>
        <v>0</v>
      </c>
      <c r="BT81" s="397">
        <f t="shared" si="86"/>
        <v>0</v>
      </c>
      <c r="BU81" s="397">
        <f t="shared" si="87"/>
        <v>0</v>
      </c>
      <c r="BV81" s="397">
        <f t="shared" si="88"/>
        <v>0</v>
      </c>
      <c r="BW81" s="397">
        <f t="shared" si="89"/>
        <v>0</v>
      </c>
      <c r="BX81" s="397">
        <f t="shared" si="90"/>
        <v>0</v>
      </c>
      <c r="BY81" s="397">
        <f t="shared" si="91"/>
        <v>0</v>
      </c>
      <c r="BZ81" s="397">
        <f t="shared" si="92"/>
        <v>0</v>
      </c>
      <c r="CA81" s="397">
        <f t="shared" si="93"/>
        <v>0</v>
      </c>
      <c r="CB81" s="397">
        <f t="shared" si="94"/>
        <v>0</v>
      </c>
      <c r="CC81" s="391">
        <v>41384</v>
      </c>
      <c r="CD81" s="397">
        <f t="shared" si="116"/>
        <v>0</v>
      </c>
      <c r="CE81" s="397">
        <f t="shared" si="117"/>
        <v>0</v>
      </c>
      <c r="CF81" s="397">
        <f t="shared" si="118"/>
        <v>0</v>
      </c>
      <c r="CG81" s="397">
        <f t="shared" si="119"/>
        <v>0</v>
      </c>
      <c r="CH81" s="397">
        <f t="shared" si="120"/>
        <v>0</v>
      </c>
      <c r="CI81" s="397">
        <f t="shared" si="121"/>
        <v>0</v>
      </c>
      <c r="CJ81" s="397" t="e">
        <f t="shared" si="122"/>
        <v>#REF!</v>
      </c>
      <c r="CK81" s="397">
        <f t="shared" si="123"/>
        <v>0</v>
      </c>
      <c r="CL81" s="397">
        <f t="shared" si="124"/>
        <v>0</v>
      </c>
      <c r="CM81" s="397">
        <f t="shared" si="125"/>
        <v>0</v>
      </c>
      <c r="CN81" s="397">
        <f t="shared" si="126"/>
        <v>0</v>
      </c>
      <c r="CO81" s="397">
        <f t="shared" si="127"/>
        <v>0</v>
      </c>
      <c r="CP81" s="397">
        <f t="shared" si="128"/>
        <v>0</v>
      </c>
      <c r="CQ81" s="397">
        <f t="shared" si="129"/>
        <v>0</v>
      </c>
      <c r="CR81" s="397">
        <f t="shared" si="130"/>
        <v>-1000000</v>
      </c>
      <c r="CS81" s="397">
        <f t="shared" si="131"/>
        <v>0</v>
      </c>
      <c r="CT81" s="398" t="e">
        <f t="shared" si="132"/>
        <v>#REF!</v>
      </c>
      <c r="CV81" s="391">
        <v>41384</v>
      </c>
      <c r="CW81" s="399">
        <f>+CW$3-SUM(AU$4:AU81)-0.02</f>
        <v>-1.9073486328541334E-8</v>
      </c>
      <c r="CX81" s="399">
        <f>+CX$3-SUM(AV$4:AV81)</f>
        <v>0</v>
      </c>
      <c r="CY81" s="399">
        <f>+CY$3-SUM(AW$4:AW81)</f>
        <v>0</v>
      </c>
      <c r="CZ81" s="399">
        <f>+CZ$3-SUM(AX$4:AX81)</f>
        <v>9.9999904632568359E-3</v>
      </c>
      <c r="DA81" s="909">
        <f>+DA$3-SUM(AY$4:AY81)-447582604.18</f>
        <v>0</v>
      </c>
      <c r="DB81" s="399">
        <f>+DB$3-SUM(AZ$4:AZ81)</f>
        <v>76982254.319999993</v>
      </c>
      <c r="DC81" s="399" t="e">
        <f>+DC$3-SUM(BA$4:BA81)</f>
        <v>#REF!</v>
      </c>
      <c r="DD81" s="399">
        <f>+DD$3-SUM(BB$4:BB81)</f>
        <v>0</v>
      </c>
      <c r="DE81" s="909">
        <f>+DE$3-SUM(BC$4:BC81)-92181740.83</f>
        <v>0</v>
      </c>
      <c r="DF81" s="909">
        <f>+DF$3-SUM(BD$4:BD81)-18926732.95</f>
        <v>0</v>
      </c>
      <c r="DG81" s="909">
        <f>+DG$3-SUM(BE$4:BE81)</f>
        <v>0</v>
      </c>
      <c r="DH81" s="909">
        <f>+DH$3-SUM(BF$4:BF81)-50230768.95</f>
        <v>0</v>
      </c>
      <c r="DI81" s="909">
        <f>+DI$3-SUM(BG$4:BG81)-46082480.22</f>
        <v>0</v>
      </c>
      <c r="DJ81" s="909">
        <f>+DJ$3-SUM(BH$4:BH81)-30366967.3</f>
        <v>0</v>
      </c>
      <c r="DK81" s="909">
        <f>+DK$3-SUM(BI$4:BI81)-115469145.59</f>
        <v>0</v>
      </c>
      <c r="DL81" s="909">
        <f>+DL$3-SUM(BJ$4:BJ81)-16458028.65</f>
        <v>0</v>
      </c>
    </row>
    <row r="82" spans="1:116" s="106" customFormat="1">
      <c r="A82" s="391">
        <v>41414</v>
      </c>
      <c r="B82" s="393">
        <v>0</v>
      </c>
      <c r="C82" s="393">
        <v>0</v>
      </c>
      <c r="D82" s="393">
        <v>0</v>
      </c>
      <c r="E82" s="393">
        <v>0</v>
      </c>
      <c r="F82" s="393">
        <v>0</v>
      </c>
      <c r="G82" s="393">
        <v>0</v>
      </c>
      <c r="H82" s="393">
        <v>498066311.06189919</v>
      </c>
      <c r="I82" s="393">
        <v>0</v>
      </c>
      <c r="J82" s="393">
        <v>0</v>
      </c>
      <c r="K82" s="393">
        <v>0</v>
      </c>
      <c r="L82" s="393">
        <v>0</v>
      </c>
      <c r="M82" s="393">
        <v>0</v>
      </c>
      <c r="N82" s="393">
        <v>0</v>
      </c>
      <c r="O82" s="393">
        <v>0</v>
      </c>
      <c r="P82" s="393">
        <v>0</v>
      </c>
      <c r="Q82" s="393">
        <v>0</v>
      </c>
      <c r="R82" s="394">
        <f t="shared" si="77"/>
        <v>498066311.06189919</v>
      </c>
      <c r="S82" s="391">
        <v>41414</v>
      </c>
      <c r="T82" s="395">
        <f t="shared" si="95"/>
        <v>0</v>
      </c>
      <c r="U82" s="395">
        <f t="shared" si="96"/>
        <v>0</v>
      </c>
      <c r="V82" s="395">
        <f t="shared" si="97"/>
        <v>0</v>
      </c>
      <c r="W82" s="395">
        <f t="shared" si="98"/>
        <v>0</v>
      </c>
      <c r="X82" s="395">
        <f t="shared" si="99"/>
        <v>0</v>
      </c>
      <c r="Y82" s="395">
        <f t="shared" si="100"/>
        <v>76982254.310000002</v>
      </c>
      <c r="Z82" s="395">
        <f t="shared" si="101"/>
        <v>1933688.94</v>
      </c>
      <c r="AA82" s="395">
        <f t="shared" si="102"/>
        <v>0</v>
      </c>
      <c r="AB82" s="395">
        <f t="shared" si="103"/>
        <v>0</v>
      </c>
      <c r="AC82" s="395">
        <f t="shared" si="104"/>
        <v>0</v>
      </c>
      <c r="AD82" s="395">
        <f t="shared" si="105"/>
        <v>0</v>
      </c>
      <c r="AE82" s="395">
        <f t="shared" si="106"/>
        <v>0</v>
      </c>
      <c r="AF82" s="395">
        <f t="shared" si="107"/>
        <v>0</v>
      </c>
      <c r="AG82" s="395">
        <f t="shared" si="108"/>
        <v>0</v>
      </c>
      <c r="AH82" s="395">
        <f t="shared" si="109"/>
        <v>0</v>
      </c>
      <c r="AI82" s="395">
        <f t="shared" si="110"/>
        <v>0</v>
      </c>
      <c r="AJ82" s="395">
        <f t="shared" si="111"/>
        <v>78915943.25</v>
      </c>
      <c r="AK82" s="396"/>
      <c r="AL82" s="391">
        <v>41414</v>
      </c>
      <c r="AM82" s="397">
        <f t="shared" si="112"/>
        <v>498066311.06189919</v>
      </c>
      <c r="AN82" s="397">
        <f t="shared" si="113"/>
        <v>0</v>
      </c>
      <c r="AO82" s="397">
        <f t="shared" si="114"/>
        <v>0</v>
      </c>
      <c r="AP82" s="397">
        <f t="shared" si="115"/>
        <v>0</v>
      </c>
      <c r="AQ82" s="397">
        <f t="shared" si="78"/>
        <v>498066311.06189919</v>
      </c>
      <c r="AR82" s="353"/>
      <c r="AT82" s="391">
        <v>41414</v>
      </c>
      <c r="AU82" s="63">
        <v>0</v>
      </c>
      <c r="AV82" s="63">
        <v>0</v>
      </c>
      <c r="AW82" s="63">
        <v>0</v>
      </c>
      <c r="AX82" s="63">
        <v>0</v>
      </c>
      <c r="AY82" s="63">
        <v>0</v>
      </c>
      <c r="AZ82" s="63">
        <v>76982254.310000002</v>
      </c>
      <c r="BA82" s="63">
        <v>1933688.94</v>
      </c>
      <c r="BB82" s="63">
        <v>0</v>
      </c>
      <c r="BC82" s="63">
        <v>0</v>
      </c>
      <c r="BD82" s="63">
        <v>0</v>
      </c>
      <c r="BE82" s="63">
        <v>0</v>
      </c>
      <c r="BF82" s="63">
        <v>0</v>
      </c>
      <c r="BG82" s="63">
        <v>0</v>
      </c>
      <c r="BH82" s="63">
        <v>0</v>
      </c>
      <c r="BI82" s="63">
        <v>0</v>
      </c>
      <c r="BJ82" s="63">
        <v>0</v>
      </c>
      <c r="BL82" s="391">
        <v>41414</v>
      </c>
      <c r="BM82" s="397">
        <f t="shared" si="79"/>
        <v>0</v>
      </c>
      <c r="BN82" s="397">
        <f t="shared" si="80"/>
        <v>0</v>
      </c>
      <c r="BO82" s="397">
        <f t="shared" si="81"/>
        <v>0</v>
      </c>
      <c r="BP82" s="397">
        <f t="shared" si="82"/>
        <v>0</v>
      </c>
      <c r="BQ82" s="397">
        <f t="shared" si="83"/>
        <v>0</v>
      </c>
      <c r="BR82" s="397">
        <f t="shared" si="84"/>
        <v>0</v>
      </c>
      <c r="BS82" s="397">
        <f t="shared" si="85"/>
        <v>0</v>
      </c>
      <c r="BT82" s="397">
        <f t="shared" si="86"/>
        <v>0</v>
      </c>
      <c r="BU82" s="397">
        <f t="shared" si="87"/>
        <v>0</v>
      </c>
      <c r="BV82" s="397">
        <f t="shared" si="88"/>
        <v>0</v>
      </c>
      <c r="BW82" s="397">
        <f t="shared" si="89"/>
        <v>0</v>
      </c>
      <c r="BX82" s="397">
        <f t="shared" si="90"/>
        <v>0</v>
      </c>
      <c r="BY82" s="397">
        <f t="shared" si="91"/>
        <v>0</v>
      </c>
      <c r="BZ82" s="397">
        <f t="shared" si="92"/>
        <v>0</v>
      </c>
      <c r="CA82" s="397">
        <f t="shared" si="93"/>
        <v>0</v>
      </c>
      <c r="CB82" s="397">
        <f t="shared" si="94"/>
        <v>0</v>
      </c>
      <c r="CC82" s="391">
        <v>41414</v>
      </c>
      <c r="CD82" s="397">
        <f t="shared" si="116"/>
        <v>0</v>
      </c>
      <c r="CE82" s="397">
        <f t="shared" si="117"/>
        <v>0</v>
      </c>
      <c r="CF82" s="397">
        <f t="shared" si="118"/>
        <v>0</v>
      </c>
      <c r="CG82" s="397">
        <f t="shared" si="119"/>
        <v>0</v>
      </c>
      <c r="CH82" s="397">
        <f t="shared" si="120"/>
        <v>0</v>
      </c>
      <c r="CI82" s="397">
        <f t="shared" si="121"/>
        <v>0</v>
      </c>
      <c r="CJ82" s="397" t="e">
        <f t="shared" si="122"/>
        <v>#REF!</v>
      </c>
      <c r="CK82" s="397">
        <f t="shared" si="123"/>
        <v>0</v>
      </c>
      <c r="CL82" s="397">
        <f t="shared" si="124"/>
        <v>0</v>
      </c>
      <c r="CM82" s="397">
        <f t="shared" si="125"/>
        <v>0</v>
      </c>
      <c r="CN82" s="397">
        <f t="shared" si="126"/>
        <v>0</v>
      </c>
      <c r="CO82" s="397">
        <f t="shared" si="127"/>
        <v>0</v>
      </c>
      <c r="CP82" s="397">
        <f t="shared" si="128"/>
        <v>0</v>
      </c>
      <c r="CQ82" s="397">
        <f t="shared" si="129"/>
        <v>0</v>
      </c>
      <c r="CR82" s="397">
        <f t="shared" si="130"/>
        <v>-1000000</v>
      </c>
      <c r="CS82" s="397">
        <f t="shared" si="131"/>
        <v>0</v>
      </c>
      <c r="CT82" s="398" t="e">
        <f t="shared" si="132"/>
        <v>#REF!</v>
      </c>
      <c r="CV82" s="391">
        <v>41414</v>
      </c>
      <c r="CW82" s="399">
        <f>+CW$3-SUM(AU$4:AU82)-0.02</f>
        <v>-1.9073486328541334E-8</v>
      </c>
      <c r="CX82" s="399">
        <f>+CX$3-SUM(AV$4:AV82)</f>
        <v>0</v>
      </c>
      <c r="CY82" s="399">
        <f>+CY$3-SUM(AW$4:AW82)</f>
        <v>0</v>
      </c>
      <c r="CZ82" s="399">
        <f>+CZ$3-SUM(AX$4:AX82)</f>
        <v>9.9999904632568359E-3</v>
      </c>
      <c r="DA82" s="909">
        <f>+DA$3-SUM(AY$4:AY82)-447582604.18</f>
        <v>0</v>
      </c>
      <c r="DB82" s="399">
        <f>+DB$3-SUM(AZ$4:AZ82)</f>
        <v>9.9999904632568359E-3</v>
      </c>
      <c r="DC82" s="399" t="e">
        <f>+DC$3-SUM(BA$4:BA82)</f>
        <v>#REF!</v>
      </c>
      <c r="DD82" s="399">
        <f>+DD$3-SUM(BB$4:BB82)</f>
        <v>0</v>
      </c>
      <c r="DE82" s="909">
        <f>+DE$3-SUM(BC$4:BC82)-92181740.83</f>
        <v>0</v>
      </c>
      <c r="DF82" s="909">
        <f>+DF$3-SUM(BD$4:BD82)-18926732.95</f>
        <v>0</v>
      </c>
      <c r="DG82" s="909">
        <f>+DG$3-SUM(BE$4:BE82)</f>
        <v>0</v>
      </c>
      <c r="DH82" s="909">
        <f>+DH$3-SUM(BF$4:BF82)-50230768.95</f>
        <v>0</v>
      </c>
      <c r="DI82" s="909">
        <f>+DI$3-SUM(BG$4:BG82)-46082480.22</f>
        <v>0</v>
      </c>
      <c r="DJ82" s="909">
        <f>+DJ$3-SUM(BH$4:BH82)-30366967.3</f>
        <v>0</v>
      </c>
      <c r="DK82" s="909">
        <f>+DK$3-SUM(BI$4:BI82)-115469145.59</f>
        <v>0</v>
      </c>
      <c r="DL82" s="909">
        <f>+DL$3-SUM(BJ$4:BJ82)-16458028.65</f>
        <v>0</v>
      </c>
    </row>
    <row r="83" spans="1:116" s="106" customFormat="1">
      <c r="A83" s="391">
        <v>41445</v>
      </c>
      <c r="B83" s="393">
        <v>0</v>
      </c>
      <c r="C83" s="393">
        <v>0</v>
      </c>
      <c r="D83" s="393">
        <v>0</v>
      </c>
      <c r="E83" s="393">
        <v>0</v>
      </c>
      <c r="F83" s="393">
        <v>0</v>
      </c>
      <c r="G83" s="393">
        <v>0</v>
      </c>
      <c r="H83" s="393">
        <v>498066311.06189919</v>
      </c>
      <c r="I83" s="393">
        <v>0</v>
      </c>
      <c r="J83" s="393">
        <v>0</v>
      </c>
      <c r="K83" s="393">
        <v>0</v>
      </c>
      <c r="L83" s="393">
        <v>0</v>
      </c>
      <c r="M83" s="393">
        <v>0</v>
      </c>
      <c r="N83" s="393">
        <v>0</v>
      </c>
      <c r="O83" s="393">
        <v>0</v>
      </c>
      <c r="P83" s="393">
        <v>0</v>
      </c>
      <c r="Q83" s="393">
        <v>0</v>
      </c>
      <c r="R83" s="394">
        <f t="shared" si="77"/>
        <v>498066311.06189919</v>
      </c>
      <c r="S83" s="391">
        <v>41445</v>
      </c>
      <c r="T83" s="395">
        <f t="shared" si="95"/>
        <v>0</v>
      </c>
      <c r="U83" s="395">
        <f t="shared" si="96"/>
        <v>0</v>
      </c>
      <c r="V83" s="395">
        <f t="shared" si="97"/>
        <v>0</v>
      </c>
      <c r="W83" s="395">
        <f t="shared" si="98"/>
        <v>0</v>
      </c>
      <c r="X83" s="395">
        <f t="shared" si="99"/>
        <v>0</v>
      </c>
      <c r="Y83" s="395">
        <f t="shared" si="100"/>
        <v>0</v>
      </c>
      <c r="Z83" s="395">
        <f t="shared" si="101"/>
        <v>0</v>
      </c>
      <c r="AA83" s="395">
        <f t="shared" si="102"/>
        <v>0</v>
      </c>
      <c r="AB83" s="395">
        <f t="shared" si="103"/>
        <v>0</v>
      </c>
      <c r="AC83" s="395">
        <f t="shared" si="104"/>
        <v>0</v>
      </c>
      <c r="AD83" s="395">
        <f t="shared" si="105"/>
        <v>0</v>
      </c>
      <c r="AE83" s="395">
        <f t="shared" si="106"/>
        <v>0</v>
      </c>
      <c r="AF83" s="395">
        <f t="shared" si="107"/>
        <v>0</v>
      </c>
      <c r="AG83" s="395">
        <f t="shared" si="108"/>
        <v>0</v>
      </c>
      <c r="AH83" s="395">
        <f t="shared" si="109"/>
        <v>0</v>
      </c>
      <c r="AI83" s="395">
        <f t="shared" si="110"/>
        <v>0</v>
      </c>
      <c r="AJ83" s="395">
        <f t="shared" si="111"/>
        <v>0</v>
      </c>
      <c r="AK83" s="396"/>
      <c r="AL83" s="391">
        <v>41445</v>
      </c>
      <c r="AM83" s="397">
        <f t="shared" si="112"/>
        <v>498066311.06189919</v>
      </c>
      <c r="AN83" s="397">
        <f t="shared" si="113"/>
        <v>0</v>
      </c>
      <c r="AO83" s="397">
        <f t="shared" si="114"/>
        <v>0</v>
      </c>
      <c r="AP83" s="397">
        <f t="shared" si="115"/>
        <v>0</v>
      </c>
      <c r="AQ83" s="397">
        <f t="shared" si="78"/>
        <v>498066311.06189919</v>
      </c>
      <c r="AR83" s="353"/>
      <c r="AT83" s="391">
        <v>41445</v>
      </c>
      <c r="AU83" s="63">
        <v>0</v>
      </c>
      <c r="AV83" s="63">
        <v>0</v>
      </c>
      <c r="AW83" s="63">
        <v>0</v>
      </c>
      <c r="AX83" s="63">
        <v>0</v>
      </c>
      <c r="AY83" s="63">
        <v>0</v>
      </c>
      <c r="AZ83" s="63">
        <v>0</v>
      </c>
      <c r="BA83" s="63">
        <v>0</v>
      </c>
      <c r="BB83" s="63">
        <v>0</v>
      </c>
      <c r="BC83" s="63">
        <v>0</v>
      </c>
      <c r="BD83" s="63">
        <v>0</v>
      </c>
      <c r="BE83" s="63">
        <v>0</v>
      </c>
      <c r="BF83" s="63">
        <v>0</v>
      </c>
      <c r="BG83" s="63">
        <v>0</v>
      </c>
      <c r="BH83" s="63">
        <v>0</v>
      </c>
      <c r="BI83" s="63">
        <v>0</v>
      </c>
      <c r="BJ83" s="63">
        <v>0</v>
      </c>
      <c r="BL83" s="391">
        <v>41445</v>
      </c>
      <c r="BM83" s="397">
        <f t="shared" si="79"/>
        <v>0</v>
      </c>
      <c r="BN83" s="397">
        <f t="shared" si="80"/>
        <v>0</v>
      </c>
      <c r="BO83" s="397">
        <f t="shared" si="81"/>
        <v>0</v>
      </c>
      <c r="BP83" s="397">
        <f t="shared" si="82"/>
        <v>0</v>
      </c>
      <c r="BQ83" s="397">
        <f t="shared" si="83"/>
        <v>0</v>
      </c>
      <c r="BR83" s="397">
        <f t="shared" si="84"/>
        <v>0</v>
      </c>
      <c r="BS83" s="397">
        <f t="shared" si="85"/>
        <v>0</v>
      </c>
      <c r="BT83" s="397">
        <f t="shared" si="86"/>
        <v>0</v>
      </c>
      <c r="BU83" s="397">
        <f t="shared" si="87"/>
        <v>0</v>
      </c>
      <c r="BV83" s="397">
        <f t="shared" si="88"/>
        <v>0</v>
      </c>
      <c r="BW83" s="397">
        <f t="shared" si="89"/>
        <v>0</v>
      </c>
      <c r="BX83" s="397">
        <f t="shared" si="90"/>
        <v>0</v>
      </c>
      <c r="BY83" s="397">
        <f t="shared" si="91"/>
        <v>0</v>
      </c>
      <c r="BZ83" s="397">
        <f t="shared" si="92"/>
        <v>0</v>
      </c>
      <c r="CA83" s="397">
        <f t="shared" si="93"/>
        <v>0</v>
      </c>
      <c r="CB83" s="397">
        <f t="shared" si="94"/>
        <v>0</v>
      </c>
      <c r="CC83" s="391">
        <v>41445</v>
      </c>
      <c r="CD83" s="397">
        <f t="shared" si="116"/>
        <v>0</v>
      </c>
      <c r="CE83" s="397">
        <f t="shared" si="117"/>
        <v>0</v>
      </c>
      <c r="CF83" s="397">
        <f t="shared" si="118"/>
        <v>0</v>
      </c>
      <c r="CG83" s="397">
        <f t="shared" si="119"/>
        <v>0</v>
      </c>
      <c r="CH83" s="397">
        <f t="shared" si="120"/>
        <v>0</v>
      </c>
      <c r="CI83" s="397">
        <f t="shared" si="121"/>
        <v>0</v>
      </c>
      <c r="CJ83" s="397" t="e">
        <f t="shared" si="122"/>
        <v>#REF!</v>
      </c>
      <c r="CK83" s="397">
        <f t="shared" si="123"/>
        <v>0</v>
      </c>
      <c r="CL83" s="397">
        <f t="shared" si="124"/>
        <v>0</v>
      </c>
      <c r="CM83" s="397">
        <f t="shared" si="125"/>
        <v>0</v>
      </c>
      <c r="CN83" s="397">
        <f t="shared" si="126"/>
        <v>0</v>
      </c>
      <c r="CO83" s="397">
        <f t="shared" si="127"/>
        <v>0</v>
      </c>
      <c r="CP83" s="397">
        <f t="shared" si="128"/>
        <v>0</v>
      </c>
      <c r="CQ83" s="397">
        <f t="shared" si="129"/>
        <v>0</v>
      </c>
      <c r="CR83" s="397">
        <f t="shared" si="130"/>
        <v>-1000000</v>
      </c>
      <c r="CS83" s="397">
        <f t="shared" si="131"/>
        <v>0</v>
      </c>
      <c r="CT83" s="398" t="e">
        <f t="shared" si="132"/>
        <v>#REF!</v>
      </c>
      <c r="CV83" s="391">
        <v>41445</v>
      </c>
      <c r="CW83" s="399">
        <f>+CW$3-SUM(AU$4:AU83)-0.02</f>
        <v>-1.9073486328541334E-8</v>
      </c>
      <c r="CX83" s="399">
        <f>+CX$3-SUM(AV$4:AV83)</f>
        <v>0</v>
      </c>
      <c r="CY83" s="399">
        <f>+CY$3-SUM(AW$4:AW83)</f>
        <v>0</v>
      </c>
      <c r="CZ83" s="399">
        <f>+CZ$3-SUM(AX$4:AX83)</f>
        <v>9.9999904632568359E-3</v>
      </c>
      <c r="DA83" s="909">
        <f>+DA$3-SUM(AY$4:AY83)-447582604.18</f>
        <v>0</v>
      </c>
      <c r="DB83" s="399">
        <f>+DB$3-SUM(AZ$4:AZ83)</f>
        <v>9.9999904632568359E-3</v>
      </c>
      <c r="DC83" s="399" t="e">
        <f>+DC$3-SUM(BA$4:BA83)</f>
        <v>#REF!</v>
      </c>
      <c r="DD83" s="399">
        <f>+DD$3-SUM(BB$4:BB83)</f>
        <v>0</v>
      </c>
      <c r="DE83" s="909">
        <f>+DE$3-SUM(BC$4:BC83)-92181740.83</f>
        <v>0</v>
      </c>
      <c r="DF83" s="909">
        <f>+DF$3-SUM(BD$4:BD83)-18926732.95</f>
        <v>0</v>
      </c>
      <c r="DG83" s="909">
        <f>+DG$3-SUM(BE$4:BE83)</f>
        <v>0</v>
      </c>
      <c r="DH83" s="909">
        <f>+DH$3-SUM(BF$4:BF83)-50230768.95</f>
        <v>0</v>
      </c>
      <c r="DI83" s="909">
        <f>+DI$3-SUM(BG$4:BG83)-46082480.22</f>
        <v>0</v>
      </c>
      <c r="DJ83" s="909">
        <f>+DJ$3-SUM(BH$4:BH83)-30366967.3</f>
        <v>0</v>
      </c>
      <c r="DK83" s="909">
        <f>+DK$3-SUM(BI$4:BI83)-115469145.59</f>
        <v>0</v>
      </c>
      <c r="DL83" s="909">
        <f>+DL$3-SUM(BJ$4:BJ83)-16458028.65</f>
        <v>0</v>
      </c>
    </row>
    <row r="84" spans="1:116" s="106" customFormat="1">
      <c r="A84" s="391">
        <v>41475</v>
      </c>
      <c r="B84" s="393">
        <v>0</v>
      </c>
      <c r="C84" s="393">
        <v>0</v>
      </c>
      <c r="D84" s="393">
        <v>0</v>
      </c>
      <c r="E84" s="393">
        <v>0</v>
      </c>
      <c r="F84" s="393">
        <v>0</v>
      </c>
      <c r="G84" s="393">
        <v>0</v>
      </c>
      <c r="H84" s="393">
        <v>498066311.06189919</v>
      </c>
      <c r="I84" s="393">
        <v>0</v>
      </c>
      <c r="J84" s="393">
        <v>0</v>
      </c>
      <c r="K84" s="393">
        <v>0</v>
      </c>
      <c r="L84" s="393">
        <v>0</v>
      </c>
      <c r="M84" s="393">
        <v>0</v>
      </c>
      <c r="N84" s="393">
        <v>0</v>
      </c>
      <c r="O84" s="393">
        <v>0</v>
      </c>
      <c r="P84" s="393">
        <v>0</v>
      </c>
      <c r="Q84" s="393">
        <v>0</v>
      </c>
      <c r="R84" s="394">
        <f t="shared" si="77"/>
        <v>498066311.06189919</v>
      </c>
      <c r="S84" s="391">
        <v>41475</v>
      </c>
      <c r="T84" s="395">
        <f t="shared" si="95"/>
        <v>0</v>
      </c>
      <c r="U84" s="395">
        <f t="shared" si="96"/>
        <v>0</v>
      </c>
      <c r="V84" s="395">
        <f t="shared" si="97"/>
        <v>0</v>
      </c>
      <c r="W84" s="395">
        <f t="shared" si="98"/>
        <v>0</v>
      </c>
      <c r="X84" s="395">
        <f t="shared" si="99"/>
        <v>0</v>
      </c>
      <c r="Y84" s="395">
        <f t="shared" si="100"/>
        <v>0</v>
      </c>
      <c r="Z84" s="395">
        <f t="shared" si="101"/>
        <v>0</v>
      </c>
      <c r="AA84" s="395">
        <f t="shared" si="102"/>
        <v>0</v>
      </c>
      <c r="AB84" s="395">
        <f t="shared" si="103"/>
        <v>0</v>
      </c>
      <c r="AC84" s="395">
        <f t="shared" si="104"/>
        <v>0</v>
      </c>
      <c r="AD84" s="395">
        <f t="shared" si="105"/>
        <v>0</v>
      </c>
      <c r="AE84" s="395">
        <f t="shared" si="106"/>
        <v>0</v>
      </c>
      <c r="AF84" s="395">
        <f t="shared" si="107"/>
        <v>0</v>
      </c>
      <c r="AG84" s="395">
        <f t="shared" si="108"/>
        <v>0</v>
      </c>
      <c r="AH84" s="395">
        <f t="shared" si="109"/>
        <v>0</v>
      </c>
      <c r="AI84" s="395">
        <f t="shared" si="110"/>
        <v>0</v>
      </c>
      <c r="AJ84" s="395">
        <f t="shared" si="111"/>
        <v>0</v>
      </c>
      <c r="AK84" s="396"/>
      <c r="AL84" s="391">
        <v>41475</v>
      </c>
      <c r="AM84" s="397">
        <f t="shared" si="112"/>
        <v>498066311.06189919</v>
      </c>
      <c r="AN84" s="397">
        <f t="shared" si="113"/>
        <v>0</v>
      </c>
      <c r="AO84" s="397">
        <f t="shared" si="114"/>
        <v>0</v>
      </c>
      <c r="AP84" s="397">
        <f t="shared" si="115"/>
        <v>0</v>
      </c>
      <c r="AQ84" s="397">
        <f t="shared" si="78"/>
        <v>498066311.06189919</v>
      </c>
      <c r="AR84" s="353"/>
      <c r="AT84" s="391">
        <v>41475</v>
      </c>
      <c r="AU84" s="63">
        <v>0</v>
      </c>
      <c r="AV84" s="63">
        <v>0</v>
      </c>
      <c r="AW84" s="63">
        <v>0</v>
      </c>
      <c r="AX84" s="63">
        <v>0</v>
      </c>
      <c r="AY84" s="63">
        <v>0</v>
      </c>
      <c r="AZ84" s="63">
        <v>0</v>
      </c>
      <c r="BA84" s="63">
        <v>0</v>
      </c>
      <c r="BB84" s="63">
        <v>0</v>
      </c>
      <c r="BC84" s="63">
        <v>0</v>
      </c>
      <c r="BD84" s="63">
        <v>0</v>
      </c>
      <c r="BE84" s="63">
        <v>0</v>
      </c>
      <c r="BF84" s="63">
        <v>0</v>
      </c>
      <c r="BG84" s="63">
        <v>0</v>
      </c>
      <c r="BH84" s="63">
        <v>0</v>
      </c>
      <c r="BI84" s="63">
        <v>0</v>
      </c>
      <c r="BJ84" s="63">
        <v>0</v>
      </c>
      <c r="BL84" s="391">
        <v>41475</v>
      </c>
      <c r="BM84" s="397">
        <f t="shared" si="79"/>
        <v>0</v>
      </c>
      <c r="BN84" s="397">
        <f t="shared" si="80"/>
        <v>0</v>
      </c>
      <c r="BO84" s="397">
        <f t="shared" si="81"/>
        <v>0</v>
      </c>
      <c r="BP84" s="397">
        <f t="shared" si="82"/>
        <v>0</v>
      </c>
      <c r="BQ84" s="397">
        <f t="shared" si="83"/>
        <v>0</v>
      </c>
      <c r="BR84" s="397">
        <f t="shared" si="84"/>
        <v>0</v>
      </c>
      <c r="BS84" s="397">
        <f t="shared" si="85"/>
        <v>0</v>
      </c>
      <c r="BT84" s="397">
        <f t="shared" si="86"/>
        <v>0</v>
      </c>
      <c r="BU84" s="397">
        <f t="shared" si="87"/>
        <v>0</v>
      </c>
      <c r="BV84" s="397">
        <f t="shared" si="88"/>
        <v>0</v>
      </c>
      <c r="BW84" s="397">
        <f t="shared" si="89"/>
        <v>0</v>
      </c>
      <c r="BX84" s="397">
        <f t="shared" si="90"/>
        <v>0</v>
      </c>
      <c r="BY84" s="397">
        <f t="shared" si="91"/>
        <v>0</v>
      </c>
      <c r="BZ84" s="397">
        <f t="shared" si="92"/>
        <v>0</v>
      </c>
      <c r="CA84" s="397">
        <f t="shared" si="93"/>
        <v>0</v>
      </c>
      <c r="CB84" s="397">
        <f t="shared" si="94"/>
        <v>0</v>
      </c>
      <c r="CC84" s="391">
        <v>41475</v>
      </c>
      <c r="CD84" s="397">
        <f t="shared" si="116"/>
        <v>0</v>
      </c>
      <c r="CE84" s="397">
        <f t="shared" si="117"/>
        <v>0</v>
      </c>
      <c r="CF84" s="397">
        <f t="shared" si="118"/>
        <v>0</v>
      </c>
      <c r="CG84" s="397">
        <f t="shared" si="119"/>
        <v>0</v>
      </c>
      <c r="CH84" s="397">
        <f t="shared" si="120"/>
        <v>0</v>
      </c>
      <c r="CI84" s="397">
        <f t="shared" si="121"/>
        <v>0</v>
      </c>
      <c r="CJ84" s="397" t="e">
        <f t="shared" si="122"/>
        <v>#REF!</v>
      </c>
      <c r="CK84" s="397">
        <f t="shared" si="123"/>
        <v>0</v>
      </c>
      <c r="CL84" s="397">
        <f t="shared" si="124"/>
        <v>0</v>
      </c>
      <c r="CM84" s="397">
        <f t="shared" si="125"/>
        <v>0</v>
      </c>
      <c r="CN84" s="397">
        <f t="shared" si="126"/>
        <v>0</v>
      </c>
      <c r="CO84" s="397">
        <f t="shared" si="127"/>
        <v>0</v>
      </c>
      <c r="CP84" s="397">
        <f t="shared" si="128"/>
        <v>0</v>
      </c>
      <c r="CQ84" s="397">
        <f t="shared" si="129"/>
        <v>0</v>
      </c>
      <c r="CR84" s="397">
        <f t="shared" si="130"/>
        <v>-1000000</v>
      </c>
      <c r="CS84" s="397">
        <f t="shared" si="131"/>
        <v>0</v>
      </c>
      <c r="CT84" s="398" t="e">
        <f t="shared" si="132"/>
        <v>#REF!</v>
      </c>
      <c r="CV84" s="391">
        <v>41475</v>
      </c>
      <c r="CW84" s="399">
        <f>+CW$3-SUM(AU$4:AU84)-0.02</f>
        <v>-1.9073486328541334E-8</v>
      </c>
      <c r="CX84" s="399">
        <f>+CX$3-SUM(AV$4:AV84)</f>
        <v>0</v>
      </c>
      <c r="CY84" s="399">
        <f>+CY$3-SUM(AW$4:AW84)</f>
        <v>0</v>
      </c>
      <c r="CZ84" s="399">
        <f>+CZ$3-SUM(AX$4:AX84)</f>
        <v>9.9999904632568359E-3</v>
      </c>
      <c r="DA84" s="909">
        <f>+DA$3-SUM(AY$4:AY84)-447582604.18</f>
        <v>0</v>
      </c>
      <c r="DB84" s="399">
        <f>+DB$3-SUM(AZ$4:AZ84)</f>
        <v>9.9999904632568359E-3</v>
      </c>
      <c r="DC84" s="399" t="e">
        <f>+DC$3-SUM(BA$4:BA84)</f>
        <v>#REF!</v>
      </c>
      <c r="DD84" s="399">
        <f>+DD$3-SUM(BB$4:BB84)</f>
        <v>0</v>
      </c>
      <c r="DE84" s="909">
        <f>+DE$3-SUM(BC$4:BC84)-92181740.83</f>
        <v>0</v>
      </c>
      <c r="DF84" s="909">
        <f>+DF$3-SUM(BD$4:BD84)-18926732.95</f>
        <v>0</v>
      </c>
      <c r="DG84" s="909">
        <f>+DG$3-SUM(BE$4:BE84)</f>
        <v>0</v>
      </c>
      <c r="DH84" s="909">
        <f>+DH$3-SUM(BF$4:BF84)-50230768.95</f>
        <v>0</v>
      </c>
      <c r="DI84" s="909">
        <f>+DI$3-SUM(BG$4:BG84)-46082480.22</f>
        <v>0</v>
      </c>
      <c r="DJ84" s="909">
        <f>+DJ$3-SUM(BH$4:BH84)-30366967.3</f>
        <v>0</v>
      </c>
      <c r="DK84" s="909">
        <f>+DK$3-SUM(BI$4:BI84)-115469145.59</f>
        <v>0</v>
      </c>
      <c r="DL84" s="909">
        <f>+DL$3-SUM(BJ$4:BJ84)-16458028.65</f>
        <v>0</v>
      </c>
    </row>
    <row r="85" spans="1:116" s="106" customFormat="1">
      <c r="A85" s="391">
        <v>41506</v>
      </c>
      <c r="B85" s="393">
        <v>0</v>
      </c>
      <c r="C85" s="393">
        <v>0</v>
      </c>
      <c r="D85" s="393">
        <v>0</v>
      </c>
      <c r="E85" s="393">
        <v>0</v>
      </c>
      <c r="F85" s="393">
        <v>0</v>
      </c>
      <c r="G85" s="393">
        <v>0</v>
      </c>
      <c r="H85" s="393">
        <v>0</v>
      </c>
      <c r="I85" s="393">
        <v>0</v>
      </c>
      <c r="J85" s="393">
        <v>0</v>
      </c>
      <c r="K85" s="393">
        <v>0</v>
      </c>
      <c r="L85" s="393">
        <v>0</v>
      </c>
      <c r="M85" s="393">
        <v>0</v>
      </c>
      <c r="N85" s="393">
        <v>0</v>
      </c>
      <c r="O85" s="393">
        <v>0</v>
      </c>
      <c r="P85" s="393">
        <v>0</v>
      </c>
      <c r="Q85" s="393">
        <v>0</v>
      </c>
      <c r="R85" s="394">
        <f t="shared" si="77"/>
        <v>0</v>
      </c>
      <c r="S85" s="391">
        <v>41506</v>
      </c>
      <c r="T85" s="395">
        <f t="shared" si="95"/>
        <v>0</v>
      </c>
      <c r="U85" s="395">
        <f t="shared" si="96"/>
        <v>0</v>
      </c>
      <c r="V85" s="395">
        <f t="shared" si="97"/>
        <v>0</v>
      </c>
      <c r="W85" s="395">
        <f t="shared" si="98"/>
        <v>0</v>
      </c>
      <c r="X85" s="395">
        <f t="shared" si="99"/>
        <v>0</v>
      </c>
      <c r="Y85" s="395">
        <f t="shared" si="100"/>
        <v>0</v>
      </c>
      <c r="Z85" s="395">
        <f t="shared" si="101"/>
        <v>498066311.06</v>
      </c>
      <c r="AA85" s="395">
        <f t="shared" si="102"/>
        <v>0</v>
      </c>
      <c r="AB85" s="395">
        <f t="shared" si="103"/>
        <v>0</v>
      </c>
      <c r="AC85" s="395">
        <f t="shared" si="104"/>
        <v>0</v>
      </c>
      <c r="AD85" s="395">
        <f t="shared" si="105"/>
        <v>0</v>
      </c>
      <c r="AE85" s="395">
        <f t="shared" si="106"/>
        <v>0</v>
      </c>
      <c r="AF85" s="395">
        <f t="shared" si="107"/>
        <v>0</v>
      </c>
      <c r="AG85" s="395">
        <f t="shared" si="108"/>
        <v>0</v>
      </c>
      <c r="AH85" s="395">
        <f t="shared" si="109"/>
        <v>0</v>
      </c>
      <c r="AI85" s="395">
        <f t="shared" si="110"/>
        <v>0</v>
      </c>
      <c r="AJ85" s="395">
        <f t="shared" si="111"/>
        <v>498066311.06</v>
      </c>
      <c r="AK85" s="396"/>
      <c r="AL85" s="391">
        <v>41506</v>
      </c>
      <c r="AM85" s="397">
        <f t="shared" si="112"/>
        <v>0</v>
      </c>
      <c r="AN85" s="397">
        <f t="shared" si="113"/>
        <v>0</v>
      </c>
      <c r="AO85" s="397">
        <f t="shared" si="114"/>
        <v>0</v>
      </c>
      <c r="AP85" s="397">
        <f t="shared" si="115"/>
        <v>0</v>
      </c>
      <c r="AQ85" s="397">
        <f t="shared" si="78"/>
        <v>0</v>
      </c>
      <c r="AR85" s="353"/>
      <c r="AT85" s="391">
        <v>41506</v>
      </c>
      <c r="AU85" s="63">
        <v>0</v>
      </c>
      <c r="AV85" s="63">
        <v>0</v>
      </c>
      <c r="AW85" s="63">
        <v>0</v>
      </c>
      <c r="AX85" s="63">
        <v>0</v>
      </c>
      <c r="AY85" s="63">
        <v>0</v>
      </c>
      <c r="AZ85" s="63">
        <v>0</v>
      </c>
      <c r="BA85" s="63">
        <v>0</v>
      </c>
      <c r="BB85" s="63">
        <v>0</v>
      </c>
      <c r="BC85" s="63">
        <v>0</v>
      </c>
      <c r="BD85" s="63">
        <v>0</v>
      </c>
      <c r="BE85" s="63">
        <v>0</v>
      </c>
      <c r="BF85" s="63">
        <v>0</v>
      </c>
      <c r="BG85" s="63">
        <v>0</v>
      </c>
      <c r="BH85" s="63">
        <v>0</v>
      </c>
      <c r="BI85" s="63">
        <v>0</v>
      </c>
      <c r="BJ85" s="63">
        <v>0</v>
      </c>
      <c r="BL85" s="391">
        <v>41506</v>
      </c>
      <c r="BM85" s="397">
        <f t="shared" si="79"/>
        <v>0</v>
      </c>
      <c r="BN85" s="397">
        <f t="shared" si="80"/>
        <v>0</v>
      </c>
      <c r="BO85" s="397">
        <f t="shared" si="81"/>
        <v>0</v>
      </c>
      <c r="BP85" s="397">
        <f t="shared" si="82"/>
        <v>0</v>
      </c>
      <c r="BQ85" s="397">
        <f t="shared" si="83"/>
        <v>0</v>
      </c>
      <c r="BR85" s="397">
        <f t="shared" si="84"/>
        <v>0</v>
      </c>
      <c r="BS85" s="397">
        <f t="shared" si="85"/>
        <v>498066311.06</v>
      </c>
      <c r="BT85" s="397">
        <f t="shared" si="86"/>
        <v>0</v>
      </c>
      <c r="BU85" s="397">
        <f t="shared" si="87"/>
        <v>0</v>
      </c>
      <c r="BV85" s="397">
        <f t="shared" si="88"/>
        <v>0</v>
      </c>
      <c r="BW85" s="397">
        <f t="shared" si="89"/>
        <v>0</v>
      </c>
      <c r="BX85" s="397">
        <f t="shared" si="90"/>
        <v>0</v>
      </c>
      <c r="BY85" s="397">
        <f t="shared" si="91"/>
        <v>0</v>
      </c>
      <c r="BZ85" s="397">
        <f t="shared" si="92"/>
        <v>0</v>
      </c>
      <c r="CA85" s="397">
        <f t="shared" si="93"/>
        <v>0</v>
      </c>
      <c r="CB85" s="397">
        <f t="shared" si="94"/>
        <v>0</v>
      </c>
      <c r="CC85" s="391">
        <v>41506</v>
      </c>
      <c r="CD85" s="397">
        <f t="shared" si="116"/>
        <v>0</v>
      </c>
      <c r="CE85" s="397">
        <f t="shared" si="117"/>
        <v>0</v>
      </c>
      <c r="CF85" s="397">
        <f t="shared" si="118"/>
        <v>0</v>
      </c>
      <c r="CG85" s="397">
        <f t="shared" si="119"/>
        <v>0</v>
      </c>
      <c r="CH85" s="397">
        <f t="shared" si="120"/>
        <v>0</v>
      </c>
      <c r="CI85" s="397">
        <f t="shared" si="121"/>
        <v>0</v>
      </c>
      <c r="CJ85" s="397" t="e">
        <f t="shared" si="122"/>
        <v>#REF!</v>
      </c>
      <c r="CK85" s="397">
        <f t="shared" si="123"/>
        <v>0</v>
      </c>
      <c r="CL85" s="397">
        <f t="shared" si="124"/>
        <v>0</v>
      </c>
      <c r="CM85" s="397">
        <f t="shared" si="125"/>
        <v>0</v>
      </c>
      <c r="CN85" s="397">
        <f t="shared" si="126"/>
        <v>0</v>
      </c>
      <c r="CO85" s="397">
        <f t="shared" si="127"/>
        <v>0</v>
      </c>
      <c r="CP85" s="397">
        <f t="shared" si="128"/>
        <v>0</v>
      </c>
      <c r="CQ85" s="397">
        <f t="shared" si="129"/>
        <v>0</v>
      </c>
      <c r="CR85" s="397">
        <f t="shared" si="130"/>
        <v>-1000000</v>
      </c>
      <c r="CS85" s="397">
        <f t="shared" si="131"/>
        <v>0</v>
      </c>
      <c r="CT85" s="398" t="e">
        <f t="shared" si="132"/>
        <v>#REF!</v>
      </c>
      <c r="CV85" s="391">
        <v>41506</v>
      </c>
      <c r="CW85" s="399">
        <f>+CW$3-SUM(AU$4:AU85)-0.02</f>
        <v>-1.9073486328541334E-8</v>
      </c>
      <c r="CX85" s="399">
        <f>+CX$3-SUM(AV$4:AV85)</f>
        <v>0</v>
      </c>
      <c r="CY85" s="399">
        <f>+CY$3-SUM(AW$4:AW85)</f>
        <v>0</v>
      </c>
      <c r="CZ85" s="399">
        <f>+CZ$3-SUM(AX$4:AX85)</f>
        <v>9.9999904632568359E-3</v>
      </c>
      <c r="DA85" s="909">
        <f>+DA$3-SUM(AY$4:AY85)-447582604.18</f>
        <v>0</v>
      </c>
      <c r="DB85" s="399">
        <f>+DB$3-SUM(AZ$4:AZ85)</f>
        <v>9.9999904632568359E-3</v>
      </c>
      <c r="DC85" s="399" t="e">
        <f>+DC$3-SUM(BA$4:BA85)</f>
        <v>#REF!</v>
      </c>
      <c r="DD85" s="399">
        <f>+DD$3-SUM(BB$4:BB85)</f>
        <v>0</v>
      </c>
      <c r="DE85" s="909">
        <f>+DE$3-SUM(BC$4:BC85)-92181740.83</f>
        <v>0</v>
      </c>
      <c r="DF85" s="909">
        <f>+DF$3-SUM(BD$4:BD85)-18926732.95</f>
        <v>0</v>
      </c>
      <c r="DG85" s="909">
        <f>+DG$3-SUM(BE$4:BE85)</f>
        <v>0</v>
      </c>
      <c r="DH85" s="909">
        <f>+DH$3-SUM(BF$4:BF85)-50230768.95</f>
        <v>0</v>
      </c>
      <c r="DI85" s="909">
        <f>+DI$3-SUM(BG$4:BG85)-46082480.22</f>
        <v>0</v>
      </c>
      <c r="DJ85" s="909">
        <f>+DJ$3-SUM(BH$4:BH85)-30366967.3</f>
        <v>0</v>
      </c>
      <c r="DK85" s="909">
        <f>+DK$3-SUM(BI$4:BI85)-115469145.59</f>
        <v>0</v>
      </c>
      <c r="DL85" s="909">
        <f>+DL$3-SUM(BJ$4:BJ85)-16458028.65</f>
        <v>0</v>
      </c>
    </row>
    <row r="86" spans="1:116">
      <c r="A86" s="40"/>
      <c r="B86" s="41"/>
      <c r="C86" s="41"/>
      <c r="D86" s="41"/>
      <c r="E86" s="41"/>
      <c r="F86" s="41"/>
      <c r="G86" s="41"/>
      <c r="H86" s="41"/>
      <c r="I86" s="41"/>
      <c r="J86" s="41"/>
      <c r="K86" s="41"/>
      <c r="L86" s="41"/>
      <c r="M86" s="41"/>
      <c r="N86" s="41"/>
      <c r="O86" s="41"/>
      <c r="P86" s="41"/>
      <c r="Q86" s="41"/>
      <c r="S86" s="40"/>
      <c r="T86" s="42"/>
      <c r="U86" s="42"/>
      <c r="V86" s="42"/>
      <c r="W86" s="42"/>
      <c r="X86" s="42"/>
      <c r="Y86" s="42"/>
      <c r="Z86" s="42"/>
      <c r="AA86" s="42"/>
      <c r="AB86" s="42"/>
      <c r="AC86" s="42"/>
      <c r="AD86" s="42"/>
      <c r="AE86" s="42"/>
      <c r="AF86" s="42"/>
      <c r="AG86" s="42"/>
      <c r="AH86" s="42"/>
      <c r="AI86" s="42"/>
      <c r="AJ86" s="42"/>
      <c r="AK86" s="42"/>
      <c r="AL86" s="40"/>
      <c r="AM86" s="43"/>
      <c r="AN86" s="43"/>
      <c r="AO86" s="43"/>
      <c r="AP86" s="43"/>
      <c r="AT86" s="40"/>
      <c r="AU86" s="42"/>
      <c r="AV86" s="42"/>
      <c r="AW86" s="42"/>
      <c r="AX86" s="42"/>
      <c r="AY86" s="42"/>
      <c r="AZ86" s="42"/>
      <c r="BA86" s="42"/>
      <c r="BB86" s="42"/>
      <c r="BC86" s="42"/>
      <c r="BD86" s="42"/>
      <c r="BE86" s="42"/>
      <c r="BF86" s="42"/>
      <c r="BG86" s="42"/>
      <c r="BH86" s="42"/>
      <c r="BI86" s="42"/>
      <c r="BJ86" s="42"/>
    </row>
    <row r="87" spans="1:116">
      <c r="A87" s="40"/>
      <c r="B87" s="41"/>
      <c r="C87" s="71">
        <f>+B91-B94</f>
        <v>158229084.85616708</v>
      </c>
      <c r="D87" s="71">
        <f>+ROUND(B93,2)</f>
        <v>776451935.05999994</v>
      </c>
      <c r="E87" s="188">
        <f>+ROUND(B94,2)</f>
        <v>618222850.21000004</v>
      </c>
      <c r="F87" s="188">
        <f>+D87-E87</f>
        <v>158229084.8499999</v>
      </c>
      <c r="G87" s="41"/>
      <c r="H87" s="41"/>
      <c r="I87" s="41"/>
      <c r="J87" s="41"/>
      <c r="K87" s="41"/>
      <c r="L87" s="41"/>
      <c r="M87" s="41"/>
      <c r="N87" s="41"/>
      <c r="O87" s="41"/>
      <c r="P87" s="41"/>
      <c r="Q87" s="41"/>
      <c r="S87" s="40"/>
      <c r="T87" s="42"/>
      <c r="U87" s="42"/>
      <c r="V87" s="42"/>
      <c r="W87" s="42"/>
      <c r="X87" s="42"/>
      <c r="Y87" s="42"/>
      <c r="Z87" s="42"/>
      <c r="AA87" s="42"/>
      <c r="AB87" s="42"/>
      <c r="AC87" s="42"/>
      <c r="AD87" s="42"/>
      <c r="AE87" s="42"/>
      <c r="AF87" s="42"/>
      <c r="AG87" s="42"/>
      <c r="AH87" s="42"/>
      <c r="AI87" s="42"/>
      <c r="AJ87" s="42"/>
      <c r="AK87" s="42"/>
      <c r="AL87" s="40"/>
      <c r="AT87" s="40"/>
      <c r="AU87" s="42"/>
      <c r="AV87" s="42"/>
      <c r="AW87" s="42"/>
      <c r="AX87" s="42"/>
      <c r="AY87" s="42"/>
      <c r="AZ87" s="42"/>
      <c r="BA87" s="42"/>
      <c r="BB87" s="42"/>
      <c r="BC87" s="42"/>
      <c r="BD87" s="42"/>
      <c r="BE87" s="42"/>
      <c r="BF87" s="42"/>
      <c r="BG87" s="42"/>
      <c r="BH87" s="42"/>
      <c r="BI87" s="42"/>
      <c r="BJ87" s="42"/>
    </row>
    <row r="88" spans="1:116">
      <c r="A88" s="40"/>
      <c r="B88" s="188">
        <v>1001634245.3476725</v>
      </c>
      <c r="C88" s="188">
        <v>305205258.92138451</v>
      </c>
      <c r="D88" s="188">
        <v>610000000</v>
      </c>
      <c r="E88" s="188">
        <v>1368548684.6960831</v>
      </c>
      <c r="F88" s="188">
        <v>1139656560.236115</v>
      </c>
      <c r="G88" s="188">
        <v>547472191.47029364</v>
      </c>
      <c r="H88" s="188">
        <v>500000000</v>
      </c>
      <c r="I88" s="188">
        <v>44546365.122041218</v>
      </c>
      <c r="J88" s="188">
        <v>112020391.73598069</v>
      </c>
      <c r="K88" s="188">
        <v>23000000</v>
      </c>
      <c r="L88" s="188">
        <v>39274605.936000846</v>
      </c>
      <c r="M88" s="188">
        <v>61041051.784276903</v>
      </c>
      <c r="N88" s="188">
        <v>56000000</v>
      </c>
      <c r="O88" s="188">
        <v>36902314.302282669</v>
      </c>
      <c r="P88" s="188">
        <v>141534746.44486183</v>
      </c>
      <c r="Q88" s="188">
        <v>20000000</v>
      </c>
      <c r="S88" s="40"/>
      <c r="T88" s="42"/>
      <c r="U88" s="42"/>
      <c r="V88" s="42"/>
      <c r="W88" s="42"/>
      <c r="X88" s="42"/>
      <c r="Y88" s="42"/>
      <c r="Z88" s="42"/>
      <c r="AA88" s="42"/>
      <c r="AB88" s="42"/>
      <c r="AC88" s="42"/>
      <c r="AD88" s="42"/>
      <c r="AE88" s="42"/>
      <c r="AF88" s="42"/>
      <c r="AG88" s="42"/>
      <c r="AH88" s="42"/>
      <c r="AI88" s="42"/>
      <c r="AJ88" s="42"/>
      <c r="AK88" s="42"/>
      <c r="AL88" s="40"/>
      <c r="AT88" s="40"/>
      <c r="AU88" s="42"/>
      <c r="AV88" s="42"/>
      <c r="AW88" s="42"/>
      <c r="AX88" s="42"/>
      <c r="AY88" s="42"/>
      <c r="AZ88" s="42"/>
      <c r="BA88" s="42"/>
      <c r="BB88" s="42"/>
      <c r="BC88" s="42"/>
      <c r="BD88" s="42"/>
      <c r="BE88" s="42"/>
      <c r="BF88" s="42"/>
      <c r="BG88" s="42"/>
      <c r="BH88" s="42"/>
      <c r="BI88" s="42"/>
      <c r="BJ88" s="42"/>
    </row>
    <row r="89" spans="1:116">
      <c r="A89" s="40"/>
      <c r="B89" s="188">
        <v>1001634245.3476725</v>
      </c>
      <c r="C89" s="188">
        <v>305205258.92138451</v>
      </c>
      <c r="D89" s="188">
        <v>610000000</v>
      </c>
      <c r="E89" s="188">
        <v>1368548684.6960831</v>
      </c>
      <c r="F89" s="188">
        <v>1139656560.236115</v>
      </c>
      <c r="G89" s="188">
        <v>547472191.47029364</v>
      </c>
      <c r="H89" s="188">
        <v>500000000</v>
      </c>
      <c r="I89" s="188">
        <v>44546365.122041218</v>
      </c>
      <c r="J89" s="188">
        <v>112020391.73598069</v>
      </c>
      <c r="K89" s="188">
        <v>23000000</v>
      </c>
      <c r="L89" s="188">
        <v>39274605.936000846</v>
      </c>
      <c r="M89" s="188">
        <v>61041051.784276903</v>
      </c>
      <c r="N89" s="188">
        <v>56000000</v>
      </c>
      <c r="O89" s="188">
        <v>36902314.302282669</v>
      </c>
      <c r="P89" s="188">
        <v>141534746.44486183</v>
      </c>
      <c r="Q89" s="188">
        <v>20000000</v>
      </c>
      <c r="S89" s="40"/>
      <c r="T89" s="42"/>
      <c r="U89" s="42"/>
      <c r="V89" s="42"/>
      <c r="W89" s="42"/>
      <c r="X89" s="42"/>
      <c r="Y89" s="42"/>
      <c r="Z89" s="42"/>
      <c r="AA89" s="42"/>
      <c r="AB89" s="42"/>
      <c r="AC89" s="42"/>
      <c r="AD89" s="42"/>
      <c r="AE89" s="42"/>
      <c r="AF89" s="42"/>
      <c r="AG89" s="42"/>
      <c r="AH89" s="42"/>
      <c r="AI89" s="42"/>
      <c r="AJ89" s="42"/>
      <c r="AK89" s="42"/>
      <c r="AL89" s="40"/>
      <c r="AT89" s="40"/>
      <c r="AU89" s="42"/>
      <c r="AV89" s="42"/>
      <c r="AW89" s="42"/>
      <c r="AX89" s="42"/>
      <c r="AY89" s="42"/>
      <c r="AZ89" s="42"/>
      <c r="BA89" s="42"/>
      <c r="BB89" s="42"/>
      <c r="BC89" s="42"/>
      <c r="BD89" s="42"/>
      <c r="BE89" s="42"/>
      <c r="BF89" s="42"/>
      <c r="BG89" s="42"/>
      <c r="BH89" s="42"/>
      <c r="BI89" s="42"/>
      <c r="BJ89" s="42"/>
    </row>
    <row r="90" spans="1:116">
      <c r="A90" s="40"/>
      <c r="B90" s="188">
        <v>1001634245.3476725</v>
      </c>
      <c r="C90" s="188">
        <v>305205258.92138451</v>
      </c>
      <c r="D90" s="188">
        <v>610000000</v>
      </c>
      <c r="E90" s="188">
        <v>1368548684.6960831</v>
      </c>
      <c r="F90" s="188">
        <v>1139656560.236115</v>
      </c>
      <c r="G90" s="188">
        <v>547472191.47029364</v>
      </c>
      <c r="H90" s="188">
        <v>500000000</v>
      </c>
      <c r="I90" s="188">
        <v>44546365.122041218</v>
      </c>
      <c r="J90" s="188">
        <v>112020391.73598069</v>
      </c>
      <c r="K90" s="188">
        <v>23000000</v>
      </c>
      <c r="L90" s="188">
        <v>39274605.936000846</v>
      </c>
      <c r="M90" s="188">
        <v>61041051.784276903</v>
      </c>
      <c r="N90" s="188">
        <v>56000000</v>
      </c>
      <c r="O90" s="188">
        <v>36902314.302282669</v>
      </c>
      <c r="P90" s="188">
        <v>141534746.44486183</v>
      </c>
      <c r="Q90" s="188">
        <v>20000000</v>
      </c>
      <c r="S90" s="40"/>
      <c r="T90" s="42"/>
      <c r="U90" s="42"/>
      <c r="V90" s="42"/>
      <c r="W90" s="42"/>
      <c r="X90" s="42"/>
      <c r="Y90" s="42"/>
      <c r="Z90" s="42"/>
      <c r="AA90" s="42"/>
      <c r="AB90" s="42"/>
      <c r="AC90" s="42"/>
      <c r="AD90" s="42"/>
      <c r="AE90" s="42"/>
      <c r="AF90" s="42"/>
      <c r="AG90" s="42"/>
      <c r="AH90" s="42"/>
      <c r="AI90" s="42"/>
      <c r="AJ90" s="42"/>
      <c r="AK90" s="42"/>
      <c r="AL90" s="40"/>
      <c r="AT90" s="40"/>
      <c r="AU90" s="42"/>
      <c r="AV90" s="42"/>
      <c r="AW90" s="42"/>
      <c r="AX90" s="42"/>
      <c r="AY90" s="42"/>
      <c r="AZ90" s="42"/>
      <c r="BA90" s="42"/>
      <c r="BB90" s="42"/>
      <c r="BC90" s="42"/>
      <c r="BD90" s="42"/>
      <c r="BE90" s="42"/>
      <c r="BF90" s="42"/>
      <c r="BG90" s="42"/>
      <c r="BH90" s="42"/>
      <c r="BI90" s="42"/>
      <c r="BJ90" s="42"/>
    </row>
    <row r="91" spans="1:116">
      <c r="A91" s="40"/>
      <c r="B91" s="188">
        <v>776451935.06481624</v>
      </c>
      <c r="C91" s="188">
        <v>236590566.84829226</v>
      </c>
      <c r="D91" s="188">
        <v>472862906.38469189</v>
      </c>
      <c r="E91" s="188">
        <v>1368548684.6960831</v>
      </c>
      <c r="F91" s="188">
        <v>1139656560.236115</v>
      </c>
      <c r="G91" s="188">
        <v>547472191.47029364</v>
      </c>
      <c r="H91" s="188">
        <v>500000000</v>
      </c>
      <c r="I91" s="188">
        <v>44546365.122041218</v>
      </c>
      <c r="J91" s="188">
        <v>112020391.73598069</v>
      </c>
      <c r="K91" s="188">
        <v>23000000</v>
      </c>
      <c r="L91" s="188">
        <v>39274605.936000846</v>
      </c>
      <c r="M91" s="188">
        <v>61041051.784276903</v>
      </c>
      <c r="N91" s="188">
        <v>56000000</v>
      </c>
      <c r="O91" s="188">
        <v>36902314.302282669</v>
      </c>
      <c r="P91" s="188">
        <v>141534746.44486183</v>
      </c>
      <c r="Q91" s="188">
        <v>20000000</v>
      </c>
      <c r="S91" s="40"/>
      <c r="T91" s="42"/>
      <c r="U91" s="42"/>
      <c r="V91" s="42"/>
      <c r="W91" s="42"/>
      <c r="X91" s="42"/>
      <c r="Y91" s="42"/>
      <c r="Z91" s="42"/>
      <c r="AA91" s="42"/>
      <c r="AB91" s="42"/>
      <c r="AC91" s="42"/>
      <c r="AD91" s="42"/>
      <c r="AE91" s="42"/>
      <c r="AF91" s="42"/>
      <c r="AG91" s="42"/>
      <c r="AH91" s="42"/>
      <c r="AI91" s="42"/>
      <c r="AJ91" s="42"/>
      <c r="AK91" s="42"/>
      <c r="AL91" s="40"/>
      <c r="AT91" s="40"/>
      <c r="AU91" s="42"/>
      <c r="AV91" s="42"/>
      <c r="AW91" s="42"/>
      <c r="AX91" s="42"/>
      <c r="AY91" s="42"/>
      <c r="AZ91" s="42"/>
      <c r="BA91" s="42"/>
      <c r="BB91" s="42"/>
      <c r="BC91" s="42"/>
      <c r="BD91" s="42"/>
      <c r="BE91" s="42"/>
      <c r="BF91" s="42"/>
      <c r="BG91" s="42"/>
      <c r="BH91" s="42"/>
      <c r="BI91" s="42"/>
      <c r="BJ91" s="42"/>
    </row>
    <row r="92" spans="1:116">
      <c r="A92" s="40"/>
      <c r="B92" s="188">
        <v>776451935.06481624</v>
      </c>
      <c r="C92" s="188">
        <v>236590566.84829226</v>
      </c>
      <c r="D92" s="188">
        <v>472862906.38469189</v>
      </c>
      <c r="E92" s="188">
        <v>1368548684.6960831</v>
      </c>
      <c r="F92" s="188">
        <v>1139656560.236115</v>
      </c>
      <c r="G92" s="188">
        <v>547472191.47029364</v>
      </c>
      <c r="H92" s="188">
        <v>500000000</v>
      </c>
      <c r="I92" s="188">
        <v>44546365.122041218</v>
      </c>
      <c r="J92" s="188">
        <v>112020391.73598069</v>
      </c>
      <c r="K92" s="188">
        <v>23000000</v>
      </c>
      <c r="L92" s="188">
        <v>39274605.936000846</v>
      </c>
      <c r="M92" s="188">
        <v>61041051.784276903</v>
      </c>
      <c r="N92" s="188">
        <v>56000000</v>
      </c>
      <c r="O92" s="188">
        <v>36902314.302282669</v>
      </c>
      <c r="P92" s="188">
        <v>141534746.44486183</v>
      </c>
      <c r="Q92" s="188">
        <v>20000000</v>
      </c>
      <c r="S92" s="40"/>
      <c r="T92" s="42"/>
      <c r="U92" s="42"/>
      <c r="V92" s="42"/>
      <c r="W92" s="42"/>
      <c r="X92" s="42"/>
      <c r="Y92" s="42"/>
      <c r="Z92" s="42"/>
      <c r="AA92" s="42"/>
      <c r="AB92" s="42"/>
      <c r="AC92" s="42"/>
      <c r="AD92" s="42"/>
      <c r="AE92" s="42"/>
      <c r="AF92" s="42"/>
      <c r="AG92" s="42"/>
      <c r="AH92" s="42"/>
      <c r="AI92" s="42"/>
      <c r="AJ92" s="42"/>
      <c r="AK92" s="42"/>
      <c r="AL92" s="40"/>
      <c r="AT92" s="40"/>
      <c r="AU92" s="42"/>
      <c r="AV92" s="42"/>
      <c r="AW92" s="42"/>
      <c r="AX92" s="42"/>
      <c r="AY92" s="42"/>
      <c r="AZ92" s="42"/>
      <c r="BA92" s="42"/>
      <c r="BB92" s="42"/>
      <c r="BC92" s="42"/>
      <c r="BD92" s="42"/>
      <c r="BE92" s="42"/>
      <c r="BF92" s="42"/>
      <c r="BG92" s="42"/>
      <c r="BH92" s="42"/>
      <c r="BI92" s="42"/>
      <c r="BJ92" s="42"/>
    </row>
    <row r="93" spans="1:116">
      <c r="A93" s="40"/>
      <c r="B93" s="188">
        <v>776451935.06481624</v>
      </c>
      <c r="C93" s="188">
        <v>236590566.84829226</v>
      </c>
      <c r="D93" s="188">
        <v>472862906.38469189</v>
      </c>
      <c r="E93" s="188">
        <v>1368548684.6960831</v>
      </c>
      <c r="F93" s="188">
        <v>1139656560.236115</v>
      </c>
      <c r="G93" s="188">
        <v>547472191.47029364</v>
      </c>
      <c r="H93" s="188">
        <v>500000000</v>
      </c>
      <c r="I93" s="188">
        <v>44546365.122041218</v>
      </c>
      <c r="J93" s="188">
        <v>112020391.73598069</v>
      </c>
      <c r="K93" s="188">
        <v>23000000</v>
      </c>
      <c r="L93" s="188">
        <v>39274605.936000846</v>
      </c>
      <c r="M93" s="188">
        <v>61041051.784276903</v>
      </c>
      <c r="N93" s="188">
        <v>56000000</v>
      </c>
      <c r="O93" s="188">
        <v>36902314.302282669</v>
      </c>
      <c r="P93" s="188">
        <v>141534746.44486183</v>
      </c>
      <c r="Q93" s="188">
        <v>20000000</v>
      </c>
      <c r="S93" s="40"/>
      <c r="T93" s="42"/>
      <c r="U93" s="42"/>
      <c r="V93" s="42"/>
      <c r="W93" s="42"/>
      <c r="X93" s="42"/>
      <c r="Y93" s="42"/>
      <c r="Z93" s="42"/>
      <c r="AA93" s="42"/>
      <c r="AB93" s="42"/>
      <c r="AC93" s="42"/>
      <c r="AD93" s="42"/>
      <c r="AE93" s="42"/>
      <c r="AF93" s="42"/>
      <c r="AG93" s="42"/>
      <c r="AH93" s="42"/>
      <c r="AI93" s="42"/>
      <c r="AJ93" s="42"/>
      <c r="AK93" s="42"/>
      <c r="AL93" s="40"/>
      <c r="AT93" s="40"/>
      <c r="AU93" s="42"/>
      <c r="AV93" s="42"/>
      <c r="AW93" s="42"/>
      <c r="AX93" s="42"/>
      <c r="AY93" s="42"/>
      <c r="AZ93" s="42"/>
      <c r="BA93" s="42"/>
      <c r="BB93" s="42"/>
      <c r="BC93" s="42"/>
      <c r="BD93" s="42"/>
      <c r="BE93" s="42"/>
      <c r="BF93" s="42"/>
      <c r="BG93" s="42"/>
      <c r="BH93" s="42"/>
      <c r="BI93" s="42"/>
      <c r="BJ93" s="42"/>
    </row>
    <row r="94" spans="1:116">
      <c r="A94" s="40"/>
      <c r="B94" s="188">
        <v>618222850.20864916</v>
      </c>
      <c r="C94" s="188">
        <v>188377010.81551337</v>
      </c>
      <c r="D94" s="188">
        <v>376500644.20109475</v>
      </c>
      <c r="E94" s="188">
        <v>1368548684.6960831</v>
      </c>
      <c r="F94" s="188">
        <v>1139656560.236115</v>
      </c>
      <c r="G94" s="188">
        <v>547472191.47029364</v>
      </c>
      <c r="H94" s="188">
        <v>500000000</v>
      </c>
      <c r="I94" s="188">
        <v>44546365.122041218</v>
      </c>
      <c r="J94" s="188">
        <v>112020391.73598069</v>
      </c>
      <c r="K94" s="188">
        <v>23000000</v>
      </c>
      <c r="L94" s="188">
        <v>39274605.936000846</v>
      </c>
      <c r="M94" s="188">
        <v>61041051.784276903</v>
      </c>
      <c r="N94" s="188">
        <v>56000000</v>
      </c>
      <c r="O94" s="188">
        <v>36902314.302282669</v>
      </c>
      <c r="P94" s="188">
        <v>141534746.44486183</v>
      </c>
      <c r="Q94" s="188">
        <v>20000000</v>
      </c>
      <c r="S94" s="40"/>
      <c r="T94" s="42"/>
      <c r="U94" s="42"/>
      <c r="V94" s="42"/>
      <c r="W94" s="42"/>
      <c r="X94" s="42"/>
      <c r="Y94" s="42"/>
      <c r="Z94" s="42"/>
      <c r="AA94" s="42"/>
      <c r="AB94" s="42"/>
      <c r="AC94" s="42"/>
      <c r="AD94" s="42"/>
      <c r="AE94" s="42"/>
      <c r="AF94" s="42"/>
      <c r="AG94" s="42"/>
      <c r="AH94" s="42"/>
      <c r="AI94" s="42"/>
      <c r="AJ94" s="42"/>
      <c r="AK94" s="42"/>
      <c r="AL94" s="40"/>
      <c r="AT94" s="40"/>
      <c r="AU94" s="42"/>
      <c r="AV94" s="42"/>
      <c r="AW94" s="42"/>
      <c r="AX94" s="42"/>
      <c r="AY94" s="42"/>
      <c r="AZ94" s="42"/>
      <c r="BA94" s="42"/>
      <c r="BB94" s="42"/>
      <c r="BC94" s="42"/>
      <c r="BD94" s="42"/>
      <c r="BE94" s="42"/>
      <c r="BF94" s="42"/>
      <c r="BG94" s="42"/>
      <c r="BH94" s="42"/>
      <c r="BI94" s="42"/>
      <c r="BJ94" s="42"/>
    </row>
    <row r="95" spans="1:116">
      <c r="A95" s="40"/>
      <c r="B95" s="188">
        <v>618222850.20864916</v>
      </c>
      <c r="C95" s="188">
        <v>188377010.81551337</v>
      </c>
      <c r="D95" s="188">
        <v>376500644.20109475</v>
      </c>
      <c r="E95" s="188">
        <v>1368548684.6960831</v>
      </c>
      <c r="F95" s="188">
        <v>1139656560.236115</v>
      </c>
      <c r="G95" s="188">
        <v>547472191.47029364</v>
      </c>
      <c r="H95" s="188">
        <v>500000000</v>
      </c>
      <c r="I95" s="188">
        <v>44546365.122041218</v>
      </c>
      <c r="J95" s="188">
        <v>112020391.73598069</v>
      </c>
      <c r="K95" s="188">
        <v>23000000</v>
      </c>
      <c r="L95" s="188">
        <v>39274605.936000846</v>
      </c>
      <c r="M95" s="188">
        <v>61041051.784276903</v>
      </c>
      <c r="N95" s="188">
        <v>56000000</v>
      </c>
      <c r="O95" s="188">
        <v>36902314.302282669</v>
      </c>
      <c r="P95" s="188">
        <v>141534746.44486183</v>
      </c>
      <c r="Q95" s="188">
        <v>20000000</v>
      </c>
      <c r="S95" s="40"/>
      <c r="T95" s="42"/>
      <c r="U95" s="42"/>
      <c r="V95" s="42"/>
      <c r="W95" s="42"/>
      <c r="X95" s="42"/>
      <c r="Y95" s="42"/>
      <c r="Z95" s="42"/>
      <c r="AA95" s="42"/>
      <c r="AB95" s="42"/>
      <c r="AC95" s="42"/>
      <c r="AD95" s="42"/>
      <c r="AE95" s="42"/>
      <c r="AF95" s="42"/>
      <c r="AG95" s="42"/>
      <c r="AH95" s="42"/>
      <c r="AI95" s="42"/>
      <c r="AJ95" s="42"/>
      <c r="AK95" s="42"/>
      <c r="AL95" s="40"/>
      <c r="AT95" s="40"/>
      <c r="AU95" s="42"/>
      <c r="AV95" s="42"/>
      <c r="AW95" s="42"/>
      <c r="AX95" s="42"/>
      <c r="AY95" s="42"/>
      <c r="AZ95" s="42"/>
      <c r="BA95" s="42"/>
      <c r="BB95" s="42"/>
      <c r="BC95" s="42"/>
      <c r="BD95" s="42"/>
      <c r="BE95" s="42"/>
      <c r="BF95" s="42"/>
      <c r="BG95" s="42"/>
      <c r="BH95" s="42"/>
      <c r="BI95" s="42"/>
      <c r="BJ95" s="42"/>
    </row>
    <row r="96" spans="1:116">
      <c r="A96" s="40"/>
      <c r="B96" s="188">
        <v>618222850.20864916</v>
      </c>
      <c r="C96" s="188">
        <v>188377010.81551337</v>
      </c>
      <c r="D96" s="188">
        <v>376500644.20109475</v>
      </c>
      <c r="E96" s="188">
        <v>1368548684.6960831</v>
      </c>
      <c r="F96" s="188">
        <v>1139656560.236115</v>
      </c>
      <c r="G96" s="188">
        <v>547472191.47029364</v>
      </c>
      <c r="H96" s="188">
        <v>500000000</v>
      </c>
      <c r="I96" s="188">
        <v>44546365.122041218</v>
      </c>
      <c r="J96" s="188">
        <v>112020391.73598069</v>
      </c>
      <c r="K96" s="188">
        <v>23000000</v>
      </c>
      <c r="L96" s="188">
        <v>39274605.936000846</v>
      </c>
      <c r="M96" s="188">
        <v>61041051.784276903</v>
      </c>
      <c r="N96" s="188">
        <v>56000000</v>
      </c>
      <c r="O96" s="188">
        <v>36902314.302282669</v>
      </c>
      <c r="P96" s="188">
        <v>141534746.44486183</v>
      </c>
      <c r="Q96" s="188">
        <v>20000000</v>
      </c>
      <c r="S96" s="40"/>
      <c r="T96" s="42"/>
      <c r="U96" s="42"/>
      <c r="V96" s="42"/>
      <c r="W96" s="42"/>
      <c r="X96" s="42"/>
      <c r="Y96" s="42"/>
      <c r="Z96" s="42"/>
      <c r="AA96" s="42"/>
      <c r="AB96" s="42"/>
      <c r="AC96" s="42"/>
      <c r="AD96" s="42"/>
      <c r="AE96" s="42"/>
      <c r="AF96" s="42"/>
      <c r="AG96" s="42"/>
      <c r="AH96" s="42"/>
      <c r="AI96" s="42"/>
      <c r="AJ96" s="42"/>
      <c r="AK96" s="42"/>
      <c r="AL96" s="40"/>
      <c r="AT96" s="40"/>
      <c r="AU96" s="42"/>
      <c r="AV96" s="42"/>
      <c r="AW96" s="42"/>
      <c r="AX96" s="42"/>
      <c r="AY96" s="42"/>
      <c r="AZ96" s="42"/>
      <c r="BA96" s="42"/>
      <c r="BB96" s="42"/>
      <c r="BC96" s="42"/>
      <c r="BD96" s="42"/>
      <c r="BE96" s="42"/>
      <c r="BF96" s="42"/>
      <c r="BG96" s="42"/>
      <c r="BH96" s="42"/>
      <c r="BI96" s="42"/>
      <c r="BJ96" s="42"/>
    </row>
    <row r="97" spans="1:62">
      <c r="A97" s="40"/>
      <c r="B97" s="188">
        <v>468579020.90567768</v>
      </c>
      <c r="C97" s="188">
        <v>142779444.7573083</v>
      </c>
      <c r="D97" s="188">
        <v>285366843.31639361</v>
      </c>
      <c r="E97" s="188">
        <v>1368548684.6960831</v>
      </c>
      <c r="F97" s="188">
        <v>1139656560.236115</v>
      </c>
      <c r="G97" s="188">
        <v>547472191.47029364</v>
      </c>
      <c r="H97" s="188">
        <v>500000000</v>
      </c>
      <c r="I97" s="188">
        <v>44546365.122041218</v>
      </c>
      <c r="J97" s="188">
        <v>112020391.73598069</v>
      </c>
      <c r="K97" s="188">
        <v>23000000</v>
      </c>
      <c r="L97" s="188">
        <v>39274605.936000846</v>
      </c>
      <c r="M97" s="188">
        <v>61041051.784276903</v>
      </c>
      <c r="N97" s="188">
        <v>56000000</v>
      </c>
      <c r="O97" s="188">
        <v>36902314.302282669</v>
      </c>
      <c r="P97" s="188">
        <v>141534746.44486183</v>
      </c>
      <c r="Q97" s="188">
        <v>20000000</v>
      </c>
      <c r="S97" s="40"/>
      <c r="T97" s="42"/>
      <c r="U97" s="42"/>
      <c r="V97" s="42"/>
      <c r="W97" s="42"/>
      <c r="X97" s="42"/>
      <c r="Y97" s="42"/>
      <c r="Z97" s="42"/>
      <c r="AA97" s="42"/>
      <c r="AB97" s="42"/>
      <c r="AC97" s="42"/>
      <c r="AD97" s="42"/>
      <c r="AE97" s="42"/>
      <c r="AF97" s="42"/>
      <c r="AG97" s="42"/>
      <c r="AH97" s="42"/>
      <c r="AI97" s="42"/>
      <c r="AJ97" s="42"/>
      <c r="AK97" s="42"/>
      <c r="AL97" s="40"/>
      <c r="AT97" s="40"/>
      <c r="AU97" s="42"/>
      <c r="AV97" s="42"/>
      <c r="AW97" s="42"/>
      <c r="AX97" s="42"/>
      <c r="AY97" s="42"/>
      <c r="AZ97" s="42"/>
      <c r="BA97" s="42"/>
      <c r="BB97" s="42"/>
      <c r="BC97" s="42"/>
      <c r="BD97" s="42"/>
      <c r="BE97" s="42"/>
      <c r="BF97" s="42"/>
      <c r="BG97" s="42"/>
      <c r="BH97" s="42"/>
      <c r="BI97" s="42"/>
      <c r="BJ97" s="42"/>
    </row>
    <row r="98" spans="1:62">
      <c r="A98" s="40"/>
      <c r="B98" s="188">
        <v>468579020.90567768</v>
      </c>
      <c r="C98" s="188">
        <v>142779444.7573083</v>
      </c>
      <c r="D98" s="188">
        <v>285366843.31639361</v>
      </c>
      <c r="E98" s="188">
        <v>1368548684.6960831</v>
      </c>
      <c r="F98" s="188">
        <v>1139656560.236115</v>
      </c>
      <c r="G98" s="188">
        <v>547472191.47029364</v>
      </c>
      <c r="H98" s="188">
        <v>500000000</v>
      </c>
      <c r="I98" s="188">
        <v>44546365.122041218</v>
      </c>
      <c r="J98" s="188">
        <v>112020391.73598069</v>
      </c>
      <c r="K98" s="188">
        <v>23000000</v>
      </c>
      <c r="L98" s="188">
        <v>39274605.936000846</v>
      </c>
      <c r="M98" s="188">
        <v>61041051.784276903</v>
      </c>
      <c r="N98" s="188">
        <v>56000000</v>
      </c>
      <c r="O98" s="188">
        <v>36902314.302282669</v>
      </c>
      <c r="P98" s="188">
        <v>141534746.44486183</v>
      </c>
      <c r="Q98" s="188">
        <v>20000000</v>
      </c>
      <c r="S98" s="40"/>
      <c r="T98" s="42"/>
      <c r="U98" s="42"/>
      <c r="V98" s="42"/>
      <c r="W98" s="42"/>
      <c r="X98" s="42"/>
      <c r="Y98" s="42"/>
      <c r="Z98" s="42"/>
      <c r="AA98" s="42"/>
      <c r="AB98" s="42"/>
      <c r="AC98" s="42"/>
      <c r="AD98" s="42"/>
      <c r="AE98" s="42"/>
      <c r="AF98" s="42"/>
      <c r="AG98" s="42"/>
      <c r="AH98" s="42"/>
      <c r="AI98" s="42"/>
      <c r="AJ98" s="42"/>
      <c r="AK98" s="42"/>
      <c r="AL98" s="40"/>
      <c r="AT98" s="40"/>
      <c r="AU98" s="42"/>
      <c r="AV98" s="42"/>
      <c r="AW98" s="42"/>
      <c r="AX98" s="42"/>
      <c r="AY98" s="42"/>
      <c r="AZ98" s="42"/>
      <c r="BA98" s="42"/>
      <c r="BB98" s="42"/>
      <c r="BC98" s="42"/>
      <c r="BD98" s="42"/>
      <c r="BE98" s="42"/>
      <c r="BF98" s="42"/>
      <c r="BG98" s="42"/>
      <c r="BH98" s="42"/>
      <c r="BI98" s="42"/>
      <c r="BJ98" s="42"/>
    </row>
    <row r="99" spans="1:62">
      <c r="A99" s="40"/>
      <c r="B99" s="188">
        <v>468579020.90567768</v>
      </c>
      <c r="C99" s="188">
        <v>142779444.7573083</v>
      </c>
      <c r="D99" s="188">
        <v>285366843.31639361</v>
      </c>
      <c r="E99" s="188">
        <v>1368548684.6960831</v>
      </c>
      <c r="F99" s="188">
        <v>1139656560.236115</v>
      </c>
      <c r="G99" s="188">
        <v>547472191.47029364</v>
      </c>
      <c r="H99" s="188">
        <v>500000000</v>
      </c>
      <c r="I99" s="188">
        <v>44546365.122041218</v>
      </c>
      <c r="J99" s="188">
        <v>112020391.73598069</v>
      </c>
      <c r="K99" s="188">
        <v>23000000</v>
      </c>
      <c r="L99" s="188">
        <v>39274605.936000846</v>
      </c>
      <c r="M99" s="188">
        <v>61041051.784276903</v>
      </c>
      <c r="N99" s="188">
        <v>56000000</v>
      </c>
      <c r="O99" s="188">
        <v>36902314.302282669</v>
      </c>
      <c r="P99" s="188">
        <v>141534746.44486183</v>
      </c>
      <c r="Q99" s="188">
        <v>20000000</v>
      </c>
      <c r="S99" s="40"/>
      <c r="T99" s="42"/>
      <c r="U99" s="42"/>
      <c r="V99" s="42"/>
      <c r="W99" s="42"/>
      <c r="X99" s="42"/>
      <c r="Y99" s="42"/>
      <c r="Z99" s="42"/>
      <c r="AA99" s="42"/>
      <c r="AB99" s="42"/>
      <c r="AC99" s="42"/>
      <c r="AD99" s="42"/>
      <c r="AE99" s="42"/>
      <c r="AF99" s="42"/>
      <c r="AG99" s="42"/>
      <c r="AH99" s="42"/>
      <c r="AI99" s="42"/>
      <c r="AJ99" s="42"/>
      <c r="AK99" s="42"/>
      <c r="AL99" s="40"/>
      <c r="AT99" s="40"/>
      <c r="AU99" s="42"/>
      <c r="AV99" s="42"/>
      <c r="AW99" s="42"/>
      <c r="AX99" s="42"/>
      <c r="AY99" s="42"/>
      <c r="AZ99" s="42"/>
      <c r="BA99" s="42"/>
      <c r="BB99" s="42"/>
      <c r="BC99" s="42"/>
      <c r="BD99" s="42"/>
      <c r="BE99" s="42"/>
      <c r="BF99" s="42"/>
      <c r="BG99" s="42"/>
      <c r="BH99" s="42"/>
      <c r="BI99" s="42"/>
      <c r="BJ99" s="42"/>
    </row>
    <row r="100" spans="1:62">
      <c r="A100" s="40"/>
      <c r="B100" s="188">
        <v>327054625.00328881</v>
      </c>
      <c r="C100" s="188">
        <v>99655929.266792834</v>
      </c>
      <c r="D100" s="188">
        <v>199177815.83312136</v>
      </c>
      <c r="E100" s="188">
        <v>1368548684.6960831</v>
      </c>
      <c r="F100" s="188">
        <v>1139656560.236115</v>
      </c>
      <c r="G100" s="188">
        <v>547472191.47029364</v>
      </c>
      <c r="H100" s="188">
        <v>500000000</v>
      </c>
      <c r="I100" s="188">
        <v>44546365.122041218</v>
      </c>
      <c r="J100" s="188">
        <v>112020391.73598069</v>
      </c>
      <c r="K100" s="188">
        <v>23000000</v>
      </c>
      <c r="L100" s="188">
        <v>39274605.936000846</v>
      </c>
      <c r="M100" s="188">
        <v>61041051.784276903</v>
      </c>
      <c r="N100" s="188">
        <v>56000000</v>
      </c>
      <c r="O100" s="188">
        <v>36902314.302282669</v>
      </c>
      <c r="P100" s="188">
        <v>141534746.44486183</v>
      </c>
      <c r="Q100" s="188">
        <v>20000000</v>
      </c>
      <c r="S100" s="40"/>
      <c r="T100" s="42"/>
      <c r="U100" s="42"/>
      <c r="V100" s="42"/>
      <c r="W100" s="42"/>
      <c r="X100" s="42"/>
      <c r="Y100" s="42"/>
      <c r="Z100" s="42"/>
      <c r="AA100" s="42"/>
      <c r="AB100" s="42"/>
      <c r="AC100" s="42"/>
      <c r="AD100" s="42"/>
      <c r="AE100" s="42"/>
      <c r="AF100" s="42"/>
      <c r="AG100" s="42"/>
      <c r="AH100" s="42"/>
      <c r="AI100" s="42"/>
      <c r="AJ100" s="42"/>
      <c r="AK100" s="42"/>
      <c r="AL100" s="40"/>
      <c r="AT100" s="40"/>
      <c r="AU100" s="42"/>
      <c r="AV100" s="42"/>
      <c r="AW100" s="42"/>
      <c r="AX100" s="42"/>
      <c r="AY100" s="42"/>
      <c r="AZ100" s="42"/>
      <c r="BA100" s="42"/>
      <c r="BB100" s="42"/>
      <c r="BC100" s="42"/>
      <c r="BD100" s="42"/>
      <c r="BE100" s="42"/>
      <c r="BF100" s="42"/>
      <c r="BG100" s="42"/>
      <c r="BH100" s="42"/>
      <c r="BI100" s="42"/>
      <c r="BJ100" s="42"/>
    </row>
    <row r="101" spans="1:62">
      <c r="A101" s="40"/>
      <c r="B101" s="188">
        <v>327054625.00328881</v>
      </c>
      <c r="C101" s="188">
        <v>99655929.266792834</v>
      </c>
      <c r="D101" s="188">
        <v>199177815.83312136</v>
      </c>
      <c r="E101" s="188">
        <v>1368548684.6960831</v>
      </c>
      <c r="F101" s="188">
        <v>1139656560.236115</v>
      </c>
      <c r="G101" s="188">
        <v>547472191.47029364</v>
      </c>
      <c r="H101" s="188">
        <v>500000000</v>
      </c>
      <c r="I101" s="188">
        <v>44546365.122041218</v>
      </c>
      <c r="J101" s="188">
        <v>112020391.73598069</v>
      </c>
      <c r="K101" s="188">
        <v>23000000</v>
      </c>
      <c r="L101" s="188">
        <v>39274605.936000846</v>
      </c>
      <c r="M101" s="188">
        <v>61041051.784276903</v>
      </c>
      <c r="N101" s="188">
        <v>56000000</v>
      </c>
      <c r="O101" s="188">
        <v>36902314.302282669</v>
      </c>
      <c r="P101" s="188">
        <v>141534746.44486183</v>
      </c>
      <c r="Q101" s="188">
        <v>20000000</v>
      </c>
      <c r="S101" s="40"/>
      <c r="T101" s="42"/>
      <c r="U101" s="42"/>
      <c r="V101" s="42"/>
      <c r="W101" s="42"/>
      <c r="X101" s="42"/>
      <c r="Y101" s="42"/>
      <c r="Z101" s="42"/>
      <c r="AA101" s="42"/>
      <c r="AB101" s="42"/>
      <c r="AC101" s="42"/>
      <c r="AD101" s="42"/>
      <c r="AE101" s="42"/>
      <c r="AF101" s="42"/>
      <c r="AG101" s="42"/>
      <c r="AH101" s="42"/>
      <c r="AI101" s="42"/>
      <c r="AJ101" s="42"/>
      <c r="AK101" s="42"/>
      <c r="AL101" s="40"/>
      <c r="AT101" s="40"/>
      <c r="AU101" s="42"/>
      <c r="AV101" s="42"/>
      <c r="AW101" s="42"/>
      <c r="AX101" s="42"/>
      <c r="AY101" s="42"/>
      <c r="AZ101" s="42"/>
      <c r="BA101" s="42"/>
      <c r="BB101" s="42"/>
      <c r="BC101" s="42"/>
      <c r="BD101" s="42"/>
      <c r="BE101" s="42"/>
      <c r="BF101" s="42"/>
      <c r="BG101" s="42"/>
      <c r="BH101" s="42"/>
      <c r="BI101" s="42"/>
      <c r="BJ101" s="42"/>
    </row>
    <row r="102" spans="1:62">
      <c r="A102" s="40"/>
      <c r="B102" s="188">
        <v>327054625.00328881</v>
      </c>
      <c r="C102" s="188">
        <v>99655929.266792834</v>
      </c>
      <c r="D102" s="188">
        <v>199177815.83312136</v>
      </c>
      <c r="E102" s="188">
        <v>1368548684.6960831</v>
      </c>
      <c r="F102" s="188">
        <v>1139656560.236115</v>
      </c>
      <c r="G102" s="188">
        <v>547472191.47029364</v>
      </c>
      <c r="H102" s="188">
        <v>500000000</v>
      </c>
      <c r="I102" s="188">
        <v>44546365.122041218</v>
      </c>
      <c r="J102" s="188">
        <v>112020391.73598069</v>
      </c>
      <c r="K102" s="188">
        <v>23000000</v>
      </c>
      <c r="L102" s="188">
        <v>39274605.936000846</v>
      </c>
      <c r="M102" s="188">
        <v>61041051.784276903</v>
      </c>
      <c r="N102" s="188">
        <v>56000000</v>
      </c>
      <c r="O102" s="188">
        <v>36902314.302282669</v>
      </c>
      <c r="P102" s="188">
        <v>141534746.44486183</v>
      </c>
      <c r="Q102" s="188">
        <v>20000000</v>
      </c>
      <c r="S102" s="40"/>
      <c r="T102" s="42"/>
      <c r="U102" s="42"/>
      <c r="V102" s="42"/>
      <c r="W102" s="42"/>
      <c r="X102" s="42"/>
      <c r="Y102" s="42"/>
      <c r="Z102" s="42"/>
      <c r="AA102" s="42"/>
      <c r="AB102" s="42"/>
      <c r="AC102" s="42"/>
      <c r="AD102" s="42"/>
      <c r="AE102" s="42"/>
      <c r="AF102" s="42"/>
      <c r="AG102" s="42"/>
      <c r="AH102" s="42"/>
      <c r="AI102" s="42"/>
      <c r="AJ102" s="42"/>
      <c r="AK102" s="42"/>
      <c r="AL102" s="40"/>
      <c r="AT102" s="40"/>
      <c r="AU102" s="42"/>
      <c r="AV102" s="42"/>
      <c r="AW102" s="42"/>
      <c r="AX102" s="42"/>
      <c r="AY102" s="42"/>
      <c r="AZ102" s="42"/>
      <c r="BA102" s="42"/>
      <c r="BB102" s="42"/>
      <c r="BC102" s="42"/>
      <c r="BD102" s="42"/>
      <c r="BE102" s="42"/>
      <c r="BF102" s="42"/>
      <c r="BG102" s="42"/>
      <c r="BH102" s="42"/>
      <c r="BI102" s="42"/>
      <c r="BJ102" s="42"/>
    </row>
    <row r="103" spans="1:62">
      <c r="A103" s="40"/>
      <c r="B103" s="188">
        <v>193209115.10936111</v>
      </c>
      <c r="C103" s="188">
        <v>58872226.340919375</v>
      </c>
      <c r="D103" s="188">
        <v>117665266.30267251</v>
      </c>
      <c r="E103" s="188">
        <v>1368548684.6960831</v>
      </c>
      <c r="F103" s="188">
        <v>1139656560.236115</v>
      </c>
      <c r="G103" s="188">
        <v>547472191.47029364</v>
      </c>
      <c r="H103" s="188">
        <v>500000000</v>
      </c>
      <c r="I103" s="188">
        <v>44546365.122041218</v>
      </c>
      <c r="J103" s="188">
        <v>112020391.73598069</v>
      </c>
      <c r="K103" s="188">
        <v>23000000</v>
      </c>
      <c r="L103" s="188">
        <v>39274605.936000846</v>
      </c>
      <c r="M103" s="188">
        <v>61041051.784276903</v>
      </c>
      <c r="N103" s="188">
        <v>56000000</v>
      </c>
      <c r="O103" s="188">
        <v>36902314.302282669</v>
      </c>
      <c r="P103" s="188">
        <v>141534746.44486183</v>
      </c>
      <c r="Q103" s="188">
        <v>20000000</v>
      </c>
      <c r="S103" s="40"/>
      <c r="T103" s="42"/>
      <c r="U103" s="42"/>
      <c r="V103" s="42"/>
      <c r="W103" s="42"/>
      <c r="X103" s="42"/>
      <c r="Y103" s="42"/>
      <c r="Z103" s="42"/>
      <c r="AA103" s="42"/>
      <c r="AB103" s="42"/>
      <c r="AC103" s="42"/>
      <c r="AD103" s="42"/>
      <c r="AE103" s="42"/>
      <c r="AF103" s="42"/>
      <c r="AG103" s="42"/>
      <c r="AH103" s="42"/>
      <c r="AI103" s="42"/>
      <c r="AJ103" s="42"/>
      <c r="AK103" s="42"/>
      <c r="AL103" s="40"/>
      <c r="AT103" s="40"/>
      <c r="AU103" s="42"/>
      <c r="AV103" s="42"/>
      <c r="AW103" s="42"/>
      <c r="AX103" s="42"/>
      <c r="AY103" s="42"/>
      <c r="AZ103" s="42"/>
      <c r="BA103" s="42"/>
      <c r="BB103" s="42"/>
      <c r="BC103" s="42"/>
      <c r="BD103" s="42"/>
      <c r="BE103" s="42"/>
      <c r="BF103" s="42"/>
      <c r="BG103" s="42"/>
      <c r="BH103" s="42"/>
      <c r="BI103" s="42"/>
      <c r="BJ103" s="42"/>
    </row>
    <row r="104" spans="1:62">
      <c r="A104" s="40"/>
      <c r="B104" s="188">
        <v>193209115.10936111</v>
      </c>
      <c r="C104" s="188">
        <v>58872226.340919375</v>
      </c>
      <c r="D104" s="188">
        <v>117665266.30267251</v>
      </c>
      <c r="E104" s="188">
        <v>1368548684.6960831</v>
      </c>
      <c r="F104" s="188">
        <v>1139656560.236115</v>
      </c>
      <c r="G104" s="188">
        <v>547472191.47029364</v>
      </c>
      <c r="H104" s="188">
        <v>500000000</v>
      </c>
      <c r="I104" s="188">
        <v>44546365.122041218</v>
      </c>
      <c r="J104" s="188">
        <v>112020391.73598069</v>
      </c>
      <c r="K104" s="188">
        <v>23000000</v>
      </c>
      <c r="L104" s="188">
        <v>39274605.936000846</v>
      </c>
      <c r="M104" s="188">
        <v>61041051.784276903</v>
      </c>
      <c r="N104" s="188">
        <v>56000000</v>
      </c>
      <c r="O104" s="188">
        <v>36902314.302282669</v>
      </c>
      <c r="P104" s="188">
        <v>141534746.44486183</v>
      </c>
      <c r="Q104" s="188">
        <v>20000000</v>
      </c>
      <c r="S104" s="40"/>
      <c r="T104" s="42"/>
      <c r="U104" s="42"/>
      <c r="V104" s="42"/>
      <c r="W104" s="42"/>
      <c r="X104" s="42"/>
      <c r="Y104" s="42"/>
      <c r="Z104" s="42"/>
      <c r="AA104" s="42"/>
      <c r="AB104" s="42"/>
      <c r="AC104" s="42"/>
      <c r="AD104" s="42"/>
      <c r="AE104" s="42"/>
      <c r="AF104" s="42"/>
      <c r="AG104" s="42"/>
      <c r="AH104" s="42"/>
      <c r="AI104" s="42"/>
      <c r="AJ104" s="42"/>
      <c r="AK104" s="42"/>
      <c r="AL104" s="40"/>
      <c r="AT104" s="40"/>
      <c r="AU104" s="42"/>
      <c r="AV104" s="42"/>
      <c r="AW104" s="42"/>
      <c r="AX104" s="42"/>
      <c r="AY104" s="42"/>
      <c r="AZ104" s="42"/>
      <c r="BA104" s="42"/>
      <c r="BB104" s="42"/>
      <c r="BC104" s="42"/>
      <c r="BD104" s="42"/>
      <c r="BE104" s="42"/>
      <c r="BF104" s="42"/>
      <c r="BG104" s="42"/>
      <c r="BH104" s="42"/>
      <c r="BI104" s="42"/>
      <c r="BJ104" s="42"/>
    </row>
    <row r="105" spans="1:62">
      <c r="A105" s="40"/>
      <c r="B105" s="188">
        <v>193209115.10936111</v>
      </c>
      <c r="C105" s="188">
        <v>58872226.340919375</v>
      </c>
      <c r="D105" s="188">
        <v>117665266.30267251</v>
      </c>
      <c r="E105" s="188">
        <v>1368548684.6960831</v>
      </c>
      <c r="F105" s="188">
        <v>1139656560.236115</v>
      </c>
      <c r="G105" s="188">
        <v>547472191.47029364</v>
      </c>
      <c r="H105" s="188">
        <v>500000000</v>
      </c>
      <c r="I105" s="188">
        <v>44546365.122041218</v>
      </c>
      <c r="J105" s="188">
        <v>112020391.73598069</v>
      </c>
      <c r="K105" s="188">
        <v>23000000</v>
      </c>
      <c r="L105" s="188">
        <v>39274605.936000846</v>
      </c>
      <c r="M105" s="188">
        <v>61041051.784276903</v>
      </c>
      <c r="N105" s="188">
        <v>56000000</v>
      </c>
      <c r="O105" s="188">
        <v>36902314.302282669</v>
      </c>
      <c r="P105" s="188">
        <v>141534746.44486183</v>
      </c>
      <c r="Q105" s="188">
        <v>20000000</v>
      </c>
      <c r="S105" s="40"/>
      <c r="T105" s="42"/>
      <c r="U105" s="42"/>
      <c r="V105" s="42"/>
      <c r="W105" s="42"/>
      <c r="X105" s="42"/>
      <c r="Y105" s="42"/>
      <c r="Z105" s="42"/>
      <c r="AA105" s="42"/>
      <c r="AB105" s="42"/>
      <c r="AC105" s="42"/>
      <c r="AD105" s="42"/>
      <c r="AE105" s="42"/>
      <c r="AF105" s="42"/>
      <c r="AG105" s="42"/>
      <c r="AH105" s="42"/>
      <c r="AI105" s="42"/>
      <c r="AJ105" s="42"/>
      <c r="AK105" s="42"/>
      <c r="AL105" s="40"/>
      <c r="AT105" s="40"/>
      <c r="AU105" s="42"/>
      <c r="AV105" s="42"/>
      <c r="AW105" s="42"/>
      <c r="AX105" s="42"/>
      <c r="AY105" s="42"/>
      <c r="AZ105" s="42"/>
      <c r="BA105" s="42"/>
      <c r="BB105" s="42"/>
      <c r="BC105" s="42"/>
      <c r="BD105" s="42"/>
      <c r="BE105" s="42"/>
      <c r="BF105" s="42"/>
      <c r="BG105" s="42"/>
      <c r="BH105" s="42"/>
      <c r="BI105" s="42"/>
      <c r="BJ105" s="42"/>
    </row>
    <row r="106" spans="1:62">
      <c r="A106" s="40"/>
      <c r="B106" s="188">
        <v>66625847.224427491</v>
      </c>
      <c r="C106" s="188">
        <v>20301381.514696281</v>
      </c>
      <c r="D106" s="188">
        <v>40575456.555794775</v>
      </c>
      <c r="E106" s="188">
        <v>1368548684.6960831</v>
      </c>
      <c r="F106" s="188">
        <v>1139656560.236115</v>
      </c>
      <c r="G106" s="188">
        <v>547472191.47029364</v>
      </c>
      <c r="H106" s="188">
        <v>500000000</v>
      </c>
      <c r="I106" s="188">
        <v>44546365.122041218</v>
      </c>
      <c r="J106" s="188">
        <v>112020391.73598069</v>
      </c>
      <c r="K106" s="188">
        <v>23000000</v>
      </c>
      <c r="L106" s="188">
        <v>39274605.936000846</v>
      </c>
      <c r="M106" s="188">
        <v>61041051.784276903</v>
      </c>
      <c r="N106" s="188">
        <v>56000000</v>
      </c>
      <c r="O106" s="188">
        <v>36902314.302282669</v>
      </c>
      <c r="P106" s="188">
        <v>141534746.44486183</v>
      </c>
      <c r="Q106" s="188">
        <v>20000000</v>
      </c>
      <c r="S106" s="40"/>
      <c r="T106" s="42"/>
      <c r="U106" s="42"/>
      <c r="V106" s="42"/>
      <c r="W106" s="42"/>
      <c r="X106" s="42"/>
      <c r="Y106" s="42"/>
      <c r="Z106" s="42"/>
      <c r="AA106" s="42"/>
      <c r="AB106" s="42"/>
      <c r="AC106" s="42"/>
      <c r="AD106" s="42"/>
      <c r="AE106" s="42"/>
      <c r="AF106" s="42"/>
      <c r="AG106" s="42"/>
      <c r="AH106" s="42"/>
      <c r="AI106" s="42"/>
      <c r="AJ106" s="42"/>
      <c r="AK106" s="42"/>
      <c r="AL106" s="40"/>
      <c r="AT106" s="40"/>
      <c r="AU106" s="42"/>
      <c r="AV106" s="42"/>
      <c r="AW106" s="42"/>
      <c r="AX106" s="42"/>
      <c r="AY106" s="42"/>
      <c r="AZ106" s="42"/>
      <c r="BA106" s="42"/>
      <c r="BB106" s="42"/>
      <c r="BC106" s="42"/>
      <c r="BD106" s="42"/>
      <c r="BE106" s="42"/>
      <c r="BF106" s="42"/>
      <c r="BG106" s="42"/>
      <c r="BH106" s="42"/>
      <c r="BI106" s="42"/>
      <c r="BJ106" s="42"/>
    </row>
    <row r="107" spans="1:62">
      <c r="A107" s="40"/>
      <c r="B107" s="188">
        <v>66625847.224427491</v>
      </c>
      <c r="C107" s="188">
        <v>20301381.514696281</v>
      </c>
      <c r="D107" s="188">
        <v>40575456.555794775</v>
      </c>
      <c r="E107" s="188">
        <v>1368548684.6960831</v>
      </c>
      <c r="F107" s="188">
        <v>1139656560.236115</v>
      </c>
      <c r="G107" s="188">
        <v>547472191.47029364</v>
      </c>
      <c r="H107" s="188">
        <v>500000000</v>
      </c>
      <c r="I107" s="188">
        <v>44546365.122041218</v>
      </c>
      <c r="J107" s="188">
        <v>112020391.73598069</v>
      </c>
      <c r="K107" s="188">
        <v>23000000</v>
      </c>
      <c r="L107" s="188">
        <v>39274605.936000846</v>
      </c>
      <c r="M107" s="188">
        <v>61041051.784276903</v>
      </c>
      <c r="N107" s="188">
        <v>56000000</v>
      </c>
      <c r="O107" s="188">
        <v>36902314.302282669</v>
      </c>
      <c r="P107" s="188">
        <v>141534746.44486183</v>
      </c>
      <c r="Q107" s="188">
        <v>20000000</v>
      </c>
      <c r="S107" s="40"/>
      <c r="T107" s="42"/>
      <c r="U107" s="42"/>
      <c r="V107" s="42"/>
      <c r="W107" s="42"/>
      <c r="X107" s="42"/>
      <c r="Y107" s="42"/>
      <c r="Z107" s="42"/>
      <c r="AA107" s="42"/>
      <c r="AB107" s="42"/>
      <c r="AC107" s="42"/>
      <c r="AD107" s="42"/>
      <c r="AE107" s="42"/>
      <c r="AF107" s="42"/>
      <c r="AG107" s="42"/>
      <c r="AH107" s="42"/>
      <c r="AI107" s="42"/>
      <c r="AJ107" s="42"/>
      <c r="AK107" s="42"/>
      <c r="AL107" s="40"/>
      <c r="AT107" s="40"/>
      <c r="AU107" s="42"/>
      <c r="AV107" s="42"/>
      <c r="AW107" s="42"/>
      <c r="AX107" s="42"/>
      <c r="AY107" s="42"/>
      <c r="AZ107" s="42"/>
      <c r="BA107" s="42"/>
      <c r="BB107" s="42"/>
      <c r="BC107" s="42"/>
      <c r="BD107" s="42"/>
      <c r="BE107" s="42"/>
      <c r="BF107" s="42"/>
      <c r="BG107" s="42"/>
      <c r="BH107" s="42"/>
      <c r="BI107" s="42"/>
      <c r="BJ107" s="42"/>
    </row>
    <row r="108" spans="1:62">
      <c r="A108" s="40"/>
      <c r="B108" s="188">
        <v>66625847.224427491</v>
      </c>
      <c r="C108" s="188">
        <v>20301381.514696281</v>
      </c>
      <c r="D108" s="188">
        <v>40575456.555794775</v>
      </c>
      <c r="E108" s="188">
        <v>1368548684.6960831</v>
      </c>
      <c r="F108" s="188">
        <v>1139656560.236115</v>
      </c>
      <c r="G108" s="188">
        <v>547472191.47029364</v>
      </c>
      <c r="H108" s="188">
        <v>500000000</v>
      </c>
      <c r="I108" s="188">
        <v>44546365.122041218</v>
      </c>
      <c r="J108" s="188">
        <v>112020391.73598069</v>
      </c>
      <c r="K108" s="188">
        <v>23000000</v>
      </c>
      <c r="L108" s="188">
        <v>39274605.936000846</v>
      </c>
      <c r="M108" s="188">
        <v>61041051.784276903</v>
      </c>
      <c r="N108" s="188">
        <v>56000000</v>
      </c>
      <c r="O108" s="188">
        <v>36902314.302282669</v>
      </c>
      <c r="P108" s="188">
        <v>141534746.44486183</v>
      </c>
      <c r="Q108" s="188">
        <v>20000000</v>
      </c>
      <c r="S108" s="40"/>
      <c r="T108" s="42"/>
      <c r="U108" s="42"/>
      <c r="V108" s="42"/>
      <c r="W108" s="42"/>
      <c r="X108" s="42"/>
      <c r="Y108" s="42"/>
      <c r="Z108" s="42"/>
      <c r="AA108" s="42"/>
      <c r="AB108" s="42"/>
      <c r="AC108" s="42"/>
      <c r="AD108" s="42"/>
      <c r="AE108" s="42"/>
      <c r="AF108" s="42"/>
      <c r="AG108" s="42"/>
      <c r="AH108" s="42"/>
      <c r="AI108" s="42"/>
      <c r="AJ108" s="42"/>
      <c r="AK108" s="42"/>
      <c r="AL108" s="40"/>
      <c r="AT108" s="40"/>
      <c r="AU108" s="42"/>
      <c r="AV108" s="42"/>
      <c r="AW108" s="42"/>
      <c r="AX108" s="42"/>
      <c r="AY108" s="42"/>
      <c r="AZ108" s="42"/>
      <c r="BA108" s="42"/>
      <c r="BB108" s="42"/>
      <c r="BC108" s="42"/>
      <c r="BD108" s="42"/>
      <c r="BE108" s="42"/>
      <c r="BF108" s="42"/>
      <c r="BG108" s="42"/>
      <c r="BH108" s="42"/>
      <c r="BI108" s="42"/>
      <c r="BJ108" s="42"/>
    </row>
    <row r="109" spans="1:62">
      <c r="A109" s="40"/>
      <c r="B109" s="188">
        <v>0</v>
      </c>
      <c r="C109" s="188">
        <v>0</v>
      </c>
      <c r="D109" s="188">
        <v>0</v>
      </c>
      <c r="E109" s="188">
        <v>1351123331.0937667</v>
      </c>
      <c r="F109" s="188">
        <v>1139656560.236115</v>
      </c>
      <c r="G109" s="188">
        <v>547472191.47029364</v>
      </c>
      <c r="H109" s="188">
        <v>500000000</v>
      </c>
      <c r="I109" s="188">
        <v>0</v>
      </c>
      <c r="J109" s="188">
        <v>112020391.73598069</v>
      </c>
      <c r="K109" s="188">
        <v>23000000</v>
      </c>
      <c r="L109" s="188">
        <v>0</v>
      </c>
      <c r="M109" s="188">
        <v>61041051.784276903</v>
      </c>
      <c r="N109" s="188">
        <v>56000000</v>
      </c>
      <c r="O109" s="188">
        <v>36902314.302282669</v>
      </c>
      <c r="P109" s="188">
        <v>141534746.44486183</v>
      </c>
      <c r="Q109" s="188">
        <v>20000000</v>
      </c>
      <c r="S109" s="40"/>
      <c r="T109" s="42"/>
      <c r="U109" s="42"/>
      <c r="V109" s="42"/>
      <c r="W109" s="42"/>
      <c r="X109" s="42"/>
      <c r="Y109" s="42"/>
      <c r="Z109" s="42"/>
      <c r="AA109" s="42"/>
      <c r="AB109" s="42"/>
      <c r="AC109" s="42"/>
      <c r="AD109" s="42"/>
      <c r="AE109" s="42"/>
      <c r="AF109" s="42"/>
      <c r="AG109" s="42"/>
      <c r="AH109" s="42"/>
      <c r="AI109" s="42"/>
      <c r="AJ109" s="42"/>
      <c r="AK109" s="42"/>
      <c r="AL109" s="40"/>
      <c r="AT109" s="40"/>
      <c r="AU109" s="42"/>
      <c r="AV109" s="42"/>
      <c r="AW109" s="42"/>
      <c r="AX109" s="42"/>
      <c r="AY109" s="42"/>
      <c r="AZ109" s="42"/>
      <c r="BA109" s="42"/>
      <c r="BB109" s="42"/>
      <c r="BC109" s="42"/>
      <c r="BD109" s="42"/>
      <c r="BE109" s="42"/>
      <c r="BF109" s="42"/>
      <c r="BG109" s="42"/>
      <c r="BH109" s="42"/>
      <c r="BI109" s="42"/>
      <c r="BJ109" s="42"/>
    </row>
    <row r="110" spans="1:62">
      <c r="A110" s="40"/>
      <c r="B110" s="188">
        <v>0</v>
      </c>
      <c r="C110" s="188">
        <v>0</v>
      </c>
      <c r="D110" s="188">
        <v>0</v>
      </c>
      <c r="E110" s="188">
        <v>1351123331.0937667</v>
      </c>
      <c r="F110" s="188">
        <v>1139656560.236115</v>
      </c>
      <c r="G110" s="188">
        <v>547472191.47029364</v>
      </c>
      <c r="H110" s="188">
        <v>500000000</v>
      </c>
      <c r="I110" s="188">
        <v>0</v>
      </c>
      <c r="J110" s="188">
        <v>112020391.73598069</v>
      </c>
      <c r="K110" s="188">
        <v>23000000</v>
      </c>
      <c r="L110" s="188">
        <v>0</v>
      </c>
      <c r="M110" s="188">
        <v>61041051.784276903</v>
      </c>
      <c r="N110" s="188">
        <v>56000000</v>
      </c>
      <c r="O110" s="188">
        <v>36902314.302282669</v>
      </c>
      <c r="P110" s="188">
        <v>141534746.44486183</v>
      </c>
      <c r="Q110" s="188">
        <v>20000000</v>
      </c>
      <c r="S110" s="40"/>
      <c r="T110" s="42"/>
      <c r="U110" s="42"/>
      <c r="V110" s="42"/>
      <c r="W110" s="42"/>
      <c r="X110" s="42"/>
      <c r="Y110" s="42"/>
      <c r="Z110" s="42"/>
      <c r="AA110" s="42"/>
      <c r="AB110" s="42"/>
      <c r="AC110" s="42"/>
      <c r="AD110" s="42"/>
      <c r="AE110" s="42"/>
      <c r="AF110" s="42"/>
      <c r="AG110" s="42"/>
      <c r="AH110" s="42"/>
      <c r="AI110" s="42"/>
      <c r="AJ110" s="42"/>
      <c r="AK110" s="42"/>
      <c r="AL110" s="40"/>
      <c r="AT110" s="40"/>
      <c r="AU110" s="42"/>
      <c r="AV110" s="42"/>
      <c r="AW110" s="42"/>
      <c r="AX110" s="42"/>
      <c r="AY110" s="42"/>
      <c r="AZ110" s="42"/>
      <c r="BA110" s="42"/>
      <c r="BB110" s="42"/>
      <c r="BC110" s="42"/>
      <c r="BD110" s="42"/>
      <c r="BE110" s="42"/>
      <c r="BF110" s="42"/>
      <c r="BG110" s="42"/>
      <c r="BH110" s="42"/>
      <c r="BI110" s="42"/>
      <c r="BJ110" s="42"/>
    </row>
    <row r="111" spans="1:62">
      <c r="A111" s="40"/>
      <c r="B111" s="188">
        <v>0</v>
      </c>
      <c r="C111" s="188">
        <v>0</v>
      </c>
      <c r="D111" s="188">
        <v>0</v>
      </c>
      <c r="E111" s="188">
        <v>1351123331.0937667</v>
      </c>
      <c r="F111" s="188">
        <v>1139656560.236115</v>
      </c>
      <c r="G111" s="188">
        <v>547472191.47029364</v>
      </c>
      <c r="H111" s="188">
        <v>500000000</v>
      </c>
      <c r="I111" s="188">
        <v>0</v>
      </c>
      <c r="J111" s="188">
        <v>112020391.73598069</v>
      </c>
      <c r="K111" s="188">
        <v>23000000</v>
      </c>
      <c r="L111" s="188">
        <v>0</v>
      </c>
      <c r="M111" s="188">
        <v>61041051.784276903</v>
      </c>
      <c r="N111" s="188">
        <v>56000000</v>
      </c>
      <c r="O111" s="188">
        <v>36902314.302282669</v>
      </c>
      <c r="P111" s="188">
        <v>141534746.44486183</v>
      </c>
      <c r="Q111" s="188">
        <v>20000000</v>
      </c>
      <c r="S111" s="40"/>
      <c r="AL111" s="40"/>
      <c r="AT111" s="40"/>
    </row>
    <row r="112" spans="1:62">
      <c r="A112" s="40"/>
      <c r="B112" s="188">
        <v>0</v>
      </c>
      <c r="C112" s="188">
        <v>0</v>
      </c>
      <c r="D112" s="188">
        <v>0</v>
      </c>
      <c r="E112" s="188">
        <v>1134552272.3705487</v>
      </c>
      <c r="F112" s="188">
        <v>1139656560.236115</v>
      </c>
      <c r="G112" s="188">
        <v>547472191.47029364</v>
      </c>
      <c r="H112" s="188">
        <v>500000000</v>
      </c>
      <c r="I112" s="188">
        <v>0</v>
      </c>
      <c r="J112" s="188">
        <v>112020391.73598069</v>
      </c>
      <c r="K112" s="188">
        <v>23000000</v>
      </c>
      <c r="L112" s="188">
        <v>0</v>
      </c>
      <c r="M112" s="188">
        <v>61041051.784276903</v>
      </c>
      <c r="N112" s="188">
        <v>56000000</v>
      </c>
      <c r="O112" s="188">
        <v>36902314.302282669</v>
      </c>
      <c r="P112" s="188">
        <v>141534746.44486183</v>
      </c>
      <c r="Q112" s="188">
        <v>20000000</v>
      </c>
      <c r="S112" s="40"/>
      <c r="AL112" s="40"/>
      <c r="AT112" s="40"/>
    </row>
    <row r="113" spans="1:46">
      <c r="A113" s="40"/>
      <c r="B113" s="188">
        <v>0</v>
      </c>
      <c r="C113" s="188">
        <v>0</v>
      </c>
      <c r="D113" s="188">
        <v>0</v>
      </c>
      <c r="E113" s="188">
        <v>1134552272.3705487</v>
      </c>
      <c r="F113" s="188">
        <v>1139656560.236115</v>
      </c>
      <c r="G113" s="188">
        <v>547472191.47029364</v>
      </c>
      <c r="H113" s="188">
        <v>500000000</v>
      </c>
      <c r="I113" s="188">
        <v>0</v>
      </c>
      <c r="J113" s="188">
        <v>112020391.73598069</v>
      </c>
      <c r="K113" s="188">
        <v>23000000</v>
      </c>
      <c r="L113" s="188">
        <v>0</v>
      </c>
      <c r="M113" s="188">
        <v>61041051.784276903</v>
      </c>
      <c r="N113" s="188">
        <v>56000000</v>
      </c>
      <c r="O113" s="188">
        <v>36902314.302282669</v>
      </c>
      <c r="P113" s="188">
        <v>141534746.44486183</v>
      </c>
      <c r="Q113" s="188">
        <v>20000000</v>
      </c>
      <c r="S113" s="40"/>
      <c r="AL113" s="40"/>
      <c r="AT113" s="40"/>
    </row>
    <row r="114" spans="1:46">
      <c r="A114" s="40"/>
      <c r="B114" s="188">
        <v>0</v>
      </c>
      <c r="C114" s="188">
        <v>0</v>
      </c>
      <c r="D114" s="188">
        <v>0</v>
      </c>
      <c r="E114" s="188">
        <v>1134552272.3705487</v>
      </c>
      <c r="F114" s="188">
        <v>1139656560.236115</v>
      </c>
      <c r="G114" s="188">
        <v>547472191.47029364</v>
      </c>
      <c r="H114" s="188">
        <v>500000000</v>
      </c>
      <c r="I114" s="188">
        <v>0</v>
      </c>
      <c r="J114" s="188">
        <v>112020391.73598069</v>
      </c>
      <c r="K114" s="188">
        <v>23000000</v>
      </c>
      <c r="L114" s="188">
        <v>0</v>
      </c>
      <c r="M114" s="188">
        <v>61041051.784276903</v>
      </c>
      <c r="N114" s="188">
        <v>56000000</v>
      </c>
      <c r="O114" s="188">
        <v>36902314.302282669</v>
      </c>
      <c r="P114" s="188">
        <v>141534746.44486183</v>
      </c>
      <c r="Q114" s="188">
        <v>20000000</v>
      </c>
      <c r="S114" s="40"/>
      <c r="AL114" s="40"/>
      <c r="AT114" s="40"/>
    </row>
    <row r="115" spans="1:46">
      <c r="A115" s="40"/>
      <c r="B115" s="188">
        <v>0</v>
      </c>
      <c r="C115" s="188">
        <v>0</v>
      </c>
      <c r="D115" s="188">
        <v>0</v>
      </c>
      <c r="E115" s="188">
        <v>929732010.83013189</v>
      </c>
      <c r="F115" s="188">
        <v>1139656560.236115</v>
      </c>
      <c r="G115" s="188">
        <v>547472191.47029364</v>
      </c>
      <c r="H115" s="188">
        <v>500000000</v>
      </c>
      <c r="I115" s="188">
        <v>0</v>
      </c>
      <c r="J115" s="188">
        <v>112020391.73598069</v>
      </c>
      <c r="K115" s="188">
        <v>23000000</v>
      </c>
      <c r="L115" s="188">
        <v>0</v>
      </c>
      <c r="M115" s="188">
        <v>61041051.784276903</v>
      </c>
      <c r="N115" s="188">
        <v>56000000</v>
      </c>
      <c r="O115" s="188">
        <v>36902314.302282669</v>
      </c>
      <c r="P115" s="188">
        <v>141534746.44486183</v>
      </c>
      <c r="Q115" s="188">
        <v>20000000</v>
      </c>
      <c r="S115" s="40"/>
      <c r="AL115" s="40"/>
      <c r="AT115" s="40"/>
    </row>
    <row r="116" spans="1:46">
      <c r="A116" s="40"/>
      <c r="B116" s="188">
        <v>0</v>
      </c>
      <c r="C116" s="188">
        <v>0</v>
      </c>
      <c r="D116" s="188">
        <v>0</v>
      </c>
      <c r="E116" s="188">
        <v>929732010.83013189</v>
      </c>
      <c r="F116" s="188">
        <v>1139656560.236115</v>
      </c>
      <c r="G116" s="188">
        <v>547472191.47029364</v>
      </c>
      <c r="H116" s="188">
        <v>500000000</v>
      </c>
      <c r="I116" s="188">
        <v>0</v>
      </c>
      <c r="J116" s="188">
        <v>112020391.73598069</v>
      </c>
      <c r="K116" s="188">
        <v>23000000</v>
      </c>
      <c r="L116" s="188">
        <v>0</v>
      </c>
      <c r="M116" s="188">
        <v>61041051.784276903</v>
      </c>
      <c r="N116" s="188">
        <v>56000000</v>
      </c>
      <c r="O116" s="188">
        <v>36902314.302282669</v>
      </c>
      <c r="P116" s="188">
        <v>141534746.44486183</v>
      </c>
      <c r="Q116" s="188">
        <v>20000000</v>
      </c>
      <c r="S116" s="40"/>
      <c r="AL116" s="40"/>
      <c r="AT116" s="40"/>
    </row>
    <row r="117" spans="1:46">
      <c r="A117" s="40"/>
      <c r="B117" s="188">
        <v>0</v>
      </c>
      <c r="C117" s="188">
        <v>0</v>
      </c>
      <c r="D117" s="188">
        <v>0</v>
      </c>
      <c r="E117" s="188">
        <v>929732010.83013189</v>
      </c>
      <c r="F117" s="188">
        <v>1139656560.236115</v>
      </c>
      <c r="G117" s="188">
        <v>547472191.47029364</v>
      </c>
      <c r="H117" s="188">
        <v>500000000</v>
      </c>
      <c r="I117" s="188">
        <v>0</v>
      </c>
      <c r="J117" s="188">
        <v>112020391.73598069</v>
      </c>
      <c r="K117" s="188">
        <v>23000000</v>
      </c>
      <c r="L117" s="188">
        <v>0</v>
      </c>
      <c r="M117" s="188">
        <v>61041051.784276903</v>
      </c>
      <c r="N117" s="188">
        <v>56000000</v>
      </c>
      <c r="O117" s="188">
        <v>36902314.302282669</v>
      </c>
      <c r="P117" s="188">
        <v>141534746.44486183</v>
      </c>
      <c r="Q117" s="188">
        <v>20000000</v>
      </c>
      <c r="S117" s="40"/>
      <c r="AL117" s="40"/>
      <c r="AT117" s="40"/>
    </row>
    <row r="118" spans="1:46">
      <c r="A118" s="40"/>
      <c r="B118" s="188">
        <v>0</v>
      </c>
      <c r="C118" s="188">
        <v>0</v>
      </c>
      <c r="D118" s="188">
        <v>0</v>
      </c>
      <c r="E118" s="188">
        <v>736024967.12444663</v>
      </c>
      <c r="F118" s="188">
        <v>1139656560.236115</v>
      </c>
      <c r="G118" s="188">
        <v>547472191.47029364</v>
      </c>
      <c r="H118" s="188">
        <v>500000000</v>
      </c>
      <c r="I118" s="188">
        <v>0</v>
      </c>
      <c r="J118" s="188">
        <v>112020391.73598069</v>
      </c>
      <c r="K118" s="188">
        <v>23000000</v>
      </c>
      <c r="L118" s="188">
        <v>0</v>
      </c>
      <c r="M118" s="188">
        <v>61041051.784276903</v>
      </c>
      <c r="N118" s="188">
        <v>56000000</v>
      </c>
      <c r="O118" s="188">
        <v>36902314.302282669</v>
      </c>
      <c r="P118" s="188">
        <v>141534746.44486183</v>
      </c>
      <c r="Q118" s="188">
        <v>20000000</v>
      </c>
      <c r="S118" s="40"/>
      <c r="AL118" s="40"/>
      <c r="AT118" s="40"/>
    </row>
    <row r="119" spans="1:46">
      <c r="A119" s="40"/>
      <c r="B119" s="188">
        <v>0</v>
      </c>
      <c r="C119" s="188">
        <v>0</v>
      </c>
      <c r="D119" s="188">
        <v>0</v>
      </c>
      <c r="E119" s="188">
        <v>736024967.12444663</v>
      </c>
      <c r="F119" s="188">
        <v>1139656560.236115</v>
      </c>
      <c r="G119" s="188">
        <v>547472191.47029364</v>
      </c>
      <c r="H119" s="188">
        <v>500000000</v>
      </c>
      <c r="I119" s="188">
        <v>0</v>
      </c>
      <c r="J119" s="188">
        <v>112020391.73598069</v>
      </c>
      <c r="K119" s="188">
        <v>23000000</v>
      </c>
      <c r="L119" s="188">
        <v>0</v>
      </c>
      <c r="M119" s="188">
        <v>61041051.784276903</v>
      </c>
      <c r="N119" s="188">
        <v>56000000</v>
      </c>
      <c r="O119" s="188">
        <v>36902314.302282669</v>
      </c>
      <c r="P119" s="188">
        <v>141534746.44486183</v>
      </c>
      <c r="Q119" s="188">
        <v>20000000</v>
      </c>
      <c r="S119" s="40"/>
      <c r="AL119" s="40"/>
      <c r="AT119" s="40"/>
    </row>
    <row r="120" spans="1:46">
      <c r="A120" s="40"/>
      <c r="B120" s="188">
        <v>0</v>
      </c>
      <c r="C120" s="188">
        <v>0</v>
      </c>
      <c r="D120" s="188">
        <v>0</v>
      </c>
      <c r="E120" s="188">
        <v>736024967.12444663</v>
      </c>
      <c r="F120" s="188">
        <v>1139656560.236115</v>
      </c>
      <c r="G120" s="188">
        <v>547472191.47029364</v>
      </c>
      <c r="H120" s="188">
        <v>500000000</v>
      </c>
      <c r="I120" s="188">
        <v>0</v>
      </c>
      <c r="J120" s="188">
        <v>112020391.73598069</v>
      </c>
      <c r="K120" s="188">
        <v>23000000</v>
      </c>
      <c r="L120" s="188">
        <v>0</v>
      </c>
      <c r="M120" s="188">
        <v>61041051.784276903</v>
      </c>
      <c r="N120" s="188">
        <v>56000000</v>
      </c>
      <c r="O120" s="188">
        <v>36902314.302282669</v>
      </c>
      <c r="P120" s="188">
        <v>141534746.44486183</v>
      </c>
      <c r="Q120" s="188">
        <v>20000000</v>
      </c>
      <c r="S120" s="40"/>
      <c r="AL120" s="40"/>
      <c r="AT120" s="40"/>
    </row>
    <row r="121" spans="1:46">
      <c r="A121" s="40"/>
      <c r="B121" s="188">
        <v>0</v>
      </c>
      <c r="C121" s="188">
        <v>0</v>
      </c>
      <c r="D121" s="188">
        <v>0</v>
      </c>
      <c r="E121" s="188">
        <v>552828155.93498325</v>
      </c>
      <c r="F121" s="188">
        <v>1139656560.236115</v>
      </c>
      <c r="G121" s="188">
        <v>547472191.47029364</v>
      </c>
      <c r="H121" s="188">
        <v>500000000</v>
      </c>
      <c r="I121" s="188">
        <v>0</v>
      </c>
      <c r="J121" s="188">
        <v>112020391.73598069</v>
      </c>
      <c r="K121" s="188">
        <v>23000000</v>
      </c>
      <c r="L121" s="188">
        <v>0</v>
      </c>
      <c r="M121" s="188">
        <v>61041051.784276903</v>
      </c>
      <c r="N121" s="188">
        <v>56000000</v>
      </c>
      <c r="O121" s="188">
        <v>36902314.302282669</v>
      </c>
      <c r="P121" s="188">
        <v>141534746.44486183</v>
      </c>
      <c r="Q121" s="188">
        <v>20000000</v>
      </c>
      <c r="S121" s="40"/>
      <c r="AL121" s="40"/>
      <c r="AT121" s="40"/>
    </row>
    <row r="122" spans="1:46">
      <c r="A122" s="40"/>
      <c r="B122" s="188">
        <v>0</v>
      </c>
      <c r="C122" s="188">
        <v>0</v>
      </c>
      <c r="D122" s="188">
        <v>0</v>
      </c>
      <c r="E122" s="188">
        <v>552828155.93498325</v>
      </c>
      <c r="F122" s="188">
        <v>1139656560.236115</v>
      </c>
      <c r="G122" s="188">
        <v>547472191.47029364</v>
      </c>
      <c r="H122" s="188">
        <v>500000000</v>
      </c>
      <c r="I122" s="188">
        <v>0</v>
      </c>
      <c r="J122" s="188">
        <v>112020391.73598069</v>
      </c>
      <c r="K122" s="188">
        <v>23000000</v>
      </c>
      <c r="L122" s="188">
        <v>0</v>
      </c>
      <c r="M122" s="188">
        <v>61041051.784276903</v>
      </c>
      <c r="N122" s="188">
        <v>56000000</v>
      </c>
      <c r="O122" s="188">
        <v>36902314.302282669</v>
      </c>
      <c r="P122" s="188">
        <v>141534746.44486183</v>
      </c>
      <c r="Q122" s="188">
        <v>20000000</v>
      </c>
      <c r="S122" s="40"/>
      <c r="AL122" s="40"/>
      <c r="AT122" s="40"/>
    </row>
    <row r="123" spans="1:46">
      <c r="A123" s="40"/>
      <c r="B123" s="188">
        <v>0</v>
      </c>
      <c r="C123" s="188">
        <v>0</v>
      </c>
      <c r="D123" s="188">
        <v>0</v>
      </c>
      <c r="E123" s="188">
        <v>552828155.93498325</v>
      </c>
      <c r="F123" s="188">
        <v>1139656560.236115</v>
      </c>
      <c r="G123" s="188">
        <v>547472191.47029364</v>
      </c>
      <c r="H123" s="188">
        <v>500000000</v>
      </c>
      <c r="I123" s="188">
        <v>0</v>
      </c>
      <c r="J123" s="188">
        <v>112020391.73598069</v>
      </c>
      <c r="K123" s="188">
        <v>23000000</v>
      </c>
      <c r="L123" s="188">
        <v>0</v>
      </c>
      <c r="M123" s="188">
        <v>61041051.784276903</v>
      </c>
      <c r="N123" s="188">
        <v>56000000</v>
      </c>
      <c r="O123" s="188">
        <v>36902314.302282669</v>
      </c>
      <c r="P123" s="188">
        <v>141534746.44486183</v>
      </c>
      <c r="Q123" s="188">
        <v>20000000</v>
      </c>
      <c r="S123" s="40"/>
      <c r="AL123" s="40"/>
      <c r="AT123" s="40"/>
    </row>
    <row r="124" spans="1:46">
      <c r="A124" s="40"/>
      <c r="B124" s="188">
        <v>0</v>
      </c>
      <c r="C124" s="188">
        <v>0</v>
      </c>
      <c r="D124" s="188">
        <v>0</v>
      </c>
      <c r="E124" s="188">
        <v>379571308.9564091</v>
      </c>
      <c r="F124" s="188">
        <v>1139656560.236115</v>
      </c>
      <c r="G124" s="188">
        <v>547472191.47029364</v>
      </c>
      <c r="H124" s="188">
        <v>500000000</v>
      </c>
      <c r="I124" s="188">
        <v>0</v>
      </c>
      <c r="J124" s="188">
        <v>112020391.73598069</v>
      </c>
      <c r="K124" s="188">
        <v>23000000</v>
      </c>
      <c r="L124" s="188">
        <v>0</v>
      </c>
      <c r="M124" s="188">
        <v>61041051.784276903</v>
      </c>
      <c r="N124" s="188">
        <v>56000000</v>
      </c>
      <c r="O124" s="188">
        <v>36902314.302282669</v>
      </c>
      <c r="P124" s="188">
        <v>141534746.44486183</v>
      </c>
      <c r="Q124" s="188">
        <v>20000000</v>
      </c>
      <c r="S124" s="40"/>
      <c r="AL124" s="40"/>
      <c r="AT124" s="40"/>
    </row>
    <row r="125" spans="1:46">
      <c r="A125" s="40"/>
      <c r="B125" s="188">
        <v>0</v>
      </c>
      <c r="C125" s="188">
        <v>0</v>
      </c>
      <c r="D125" s="188">
        <v>0</v>
      </c>
      <c r="E125" s="188">
        <v>379571308.9564091</v>
      </c>
      <c r="F125" s="188">
        <v>1139656560.236115</v>
      </c>
      <c r="G125" s="188">
        <v>547472191.47029364</v>
      </c>
      <c r="H125" s="188">
        <v>500000000</v>
      </c>
      <c r="I125" s="188">
        <v>0</v>
      </c>
      <c r="J125" s="188">
        <v>112020391.73598069</v>
      </c>
      <c r="K125" s="188">
        <v>23000000</v>
      </c>
      <c r="L125" s="188">
        <v>0</v>
      </c>
      <c r="M125" s="188">
        <v>61041051.784276903</v>
      </c>
      <c r="N125" s="188">
        <v>56000000</v>
      </c>
      <c r="O125" s="188">
        <v>36902314.302282669</v>
      </c>
      <c r="P125" s="188">
        <v>141534746.44486183</v>
      </c>
      <c r="Q125" s="188">
        <v>20000000</v>
      </c>
      <c r="S125" s="40"/>
      <c r="AL125" s="40"/>
      <c r="AT125" s="40"/>
    </row>
    <row r="126" spans="1:46">
      <c r="A126" s="40"/>
      <c r="B126" s="188">
        <v>0</v>
      </c>
      <c r="C126" s="188">
        <v>0</v>
      </c>
      <c r="D126" s="188">
        <v>0</v>
      </c>
      <c r="E126" s="188">
        <v>379571308.9564091</v>
      </c>
      <c r="F126" s="188">
        <v>1139656560.236115</v>
      </c>
      <c r="G126" s="188">
        <v>547472191.47029364</v>
      </c>
      <c r="H126" s="188">
        <v>500000000</v>
      </c>
      <c r="I126" s="188">
        <v>0</v>
      </c>
      <c r="J126" s="188">
        <v>112020391.73598069</v>
      </c>
      <c r="K126" s="188">
        <v>23000000</v>
      </c>
      <c r="L126" s="188">
        <v>0</v>
      </c>
      <c r="M126" s="188">
        <v>61041051.784276903</v>
      </c>
      <c r="N126" s="188">
        <v>56000000</v>
      </c>
      <c r="O126" s="188">
        <v>36902314.302282669</v>
      </c>
      <c r="P126" s="188">
        <v>141534746.44486183</v>
      </c>
      <c r="Q126" s="188">
        <v>20000000</v>
      </c>
      <c r="S126" s="40"/>
      <c r="AL126" s="40"/>
      <c r="AT126" s="40"/>
    </row>
    <row r="127" spans="1:46">
      <c r="A127" s="40"/>
      <c r="B127" s="188">
        <v>0</v>
      </c>
      <c r="C127" s="188">
        <v>0</v>
      </c>
      <c r="D127" s="188">
        <v>0</v>
      </c>
      <c r="E127" s="188">
        <v>215715099.72407547</v>
      </c>
      <c r="F127" s="188">
        <v>1139656560.236115</v>
      </c>
      <c r="G127" s="188">
        <v>547472191.47029364</v>
      </c>
      <c r="H127" s="188">
        <v>500000000</v>
      </c>
      <c r="I127" s="188">
        <v>0</v>
      </c>
      <c r="J127" s="188">
        <v>112020391.73598069</v>
      </c>
      <c r="K127" s="188">
        <v>23000000</v>
      </c>
      <c r="L127" s="188">
        <v>0</v>
      </c>
      <c r="M127" s="188">
        <v>61041051.784276903</v>
      </c>
      <c r="N127" s="188">
        <v>56000000</v>
      </c>
      <c r="O127" s="188">
        <v>36902314.302282669</v>
      </c>
      <c r="P127" s="188">
        <v>141534746.44486183</v>
      </c>
      <c r="Q127" s="188">
        <v>20000000</v>
      </c>
      <c r="S127" s="40"/>
      <c r="AL127" s="40"/>
      <c r="AT127" s="40"/>
    </row>
    <row r="128" spans="1:46">
      <c r="A128" s="40"/>
      <c r="B128" s="188">
        <v>0</v>
      </c>
      <c r="C128" s="188">
        <v>0</v>
      </c>
      <c r="D128" s="188">
        <v>0</v>
      </c>
      <c r="E128" s="188">
        <v>215715099.72407547</v>
      </c>
      <c r="F128" s="188">
        <v>1139656560.236115</v>
      </c>
      <c r="G128" s="188">
        <v>547472191.47029364</v>
      </c>
      <c r="H128" s="188">
        <v>500000000</v>
      </c>
      <c r="I128" s="188">
        <v>0</v>
      </c>
      <c r="J128" s="188">
        <v>112020391.73598069</v>
      </c>
      <c r="K128" s="188">
        <v>23000000</v>
      </c>
      <c r="L128" s="188">
        <v>0</v>
      </c>
      <c r="M128" s="188">
        <v>61041051.784276903</v>
      </c>
      <c r="N128" s="188">
        <v>56000000</v>
      </c>
      <c r="O128" s="188">
        <v>36902314.302282669</v>
      </c>
      <c r="P128" s="188">
        <v>141534746.44486183</v>
      </c>
      <c r="Q128" s="188">
        <v>20000000</v>
      </c>
      <c r="S128" s="40"/>
      <c r="AL128" s="40"/>
      <c r="AT128" s="40"/>
    </row>
    <row r="129" spans="1:46">
      <c r="A129" s="40"/>
      <c r="B129" s="188">
        <v>0</v>
      </c>
      <c r="C129" s="188">
        <v>0</v>
      </c>
      <c r="D129" s="188">
        <v>0</v>
      </c>
      <c r="E129" s="188">
        <v>215715099.72407547</v>
      </c>
      <c r="F129" s="188">
        <v>1139656560.236115</v>
      </c>
      <c r="G129" s="188">
        <v>547472191.47029364</v>
      </c>
      <c r="H129" s="188">
        <v>500000000</v>
      </c>
      <c r="I129" s="188">
        <v>0</v>
      </c>
      <c r="J129" s="188">
        <v>112020391.73598069</v>
      </c>
      <c r="K129" s="188">
        <v>23000000</v>
      </c>
      <c r="L129" s="188">
        <v>0</v>
      </c>
      <c r="M129" s="188">
        <v>61041051.784276903</v>
      </c>
      <c r="N129" s="188">
        <v>56000000</v>
      </c>
      <c r="O129" s="188">
        <v>36902314.302282669</v>
      </c>
      <c r="P129" s="188">
        <v>141534746.44486183</v>
      </c>
      <c r="Q129" s="188">
        <v>20000000</v>
      </c>
      <c r="S129" s="40"/>
      <c r="AL129" s="40"/>
      <c r="AT129" s="40"/>
    </row>
    <row r="130" spans="1:46">
      <c r="A130" s="40"/>
      <c r="B130" s="188">
        <v>0</v>
      </c>
      <c r="C130" s="188">
        <v>0</v>
      </c>
      <c r="D130" s="188">
        <v>0</v>
      </c>
      <c r="E130" s="188">
        <v>60749464.759527251</v>
      </c>
      <c r="F130" s="188">
        <v>1139656560.236115</v>
      </c>
      <c r="G130" s="188">
        <v>547472191.47029364</v>
      </c>
      <c r="H130" s="188">
        <v>500000000</v>
      </c>
      <c r="I130" s="188">
        <v>0</v>
      </c>
      <c r="J130" s="188">
        <v>112020391.73598069</v>
      </c>
      <c r="K130" s="188">
        <v>23000000</v>
      </c>
      <c r="L130" s="188">
        <v>0</v>
      </c>
      <c r="M130" s="188">
        <v>61041051.784276903</v>
      </c>
      <c r="N130" s="188">
        <v>56000000</v>
      </c>
      <c r="O130" s="188">
        <v>36902314.302282669</v>
      </c>
      <c r="P130" s="188">
        <v>141534746.44486183</v>
      </c>
      <c r="Q130" s="188">
        <v>20000000</v>
      </c>
      <c r="S130" s="40"/>
      <c r="AL130" s="40"/>
      <c r="AT130" s="40"/>
    </row>
    <row r="131" spans="1:46">
      <c r="A131" s="40"/>
      <c r="B131" s="188">
        <v>0</v>
      </c>
      <c r="C131" s="188">
        <v>0</v>
      </c>
      <c r="D131" s="188">
        <v>0</v>
      </c>
      <c r="E131" s="188">
        <v>60749464.759527251</v>
      </c>
      <c r="F131" s="188">
        <v>1139656560.236115</v>
      </c>
      <c r="G131" s="188">
        <v>547472191.47029364</v>
      </c>
      <c r="H131" s="188">
        <v>500000000</v>
      </c>
      <c r="I131" s="188">
        <v>0</v>
      </c>
      <c r="J131" s="188">
        <v>112020391.73598069</v>
      </c>
      <c r="K131" s="188">
        <v>23000000</v>
      </c>
      <c r="L131" s="188">
        <v>0</v>
      </c>
      <c r="M131" s="188">
        <v>61041051.784276903</v>
      </c>
      <c r="N131" s="188">
        <v>56000000</v>
      </c>
      <c r="O131" s="188">
        <v>36902314.302282669</v>
      </c>
      <c r="P131" s="188">
        <v>141534746.44486183</v>
      </c>
      <c r="Q131" s="188">
        <v>20000000</v>
      </c>
      <c r="S131" s="40"/>
      <c r="AL131" s="40"/>
      <c r="AT131" s="40"/>
    </row>
    <row r="132" spans="1:46">
      <c r="A132" s="40"/>
      <c r="B132" s="188">
        <v>0</v>
      </c>
      <c r="C132" s="188">
        <v>0</v>
      </c>
      <c r="D132" s="188">
        <v>0</v>
      </c>
      <c r="E132" s="188">
        <v>60749464.759527251</v>
      </c>
      <c r="F132" s="188">
        <v>1139656560.236115</v>
      </c>
      <c r="G132" s="188">
        <v>547472191.47029364</v>
      </c>
      <c r="H132" s="188">
        <v>500000000</v>
      </c>
      <c r="I132" s="188">
        <v>0</v>
      </c>
      <c r="J132" s="188">
        <v>112020391.73598069</v>
      </c>
      <c r="K132" s="188">
        <v>23000000</v>
      </c>
      <c r="L132" s="188">
        <v>0</v>
      </c>
      <c r="M132" s="188">
        <v>61041051.784276903</v>
      </c>
      <c r="N132" s="188">
        <v>56000000</v>
      </c>
      <c r="O132" s="188">
        <v>36902314.302282669</v>
      </c>
      <c r="P132" s="188">
        <v>141534746.44486183</v>
      </c>
      <c r="Q132" s="188">
        <v>20000000</v>
      </c>
      <c r="S132" s="40"/>
      <c r="AL132" s="40"/>
      <c r="AT132" s="40"/>
    </row>
    <row r="133" spans="1:46">
      <c r="A133" s="40"/>
      <c r="B133" s="188">
        <v>0</v>
      </c>
      <c r="C133" s="188">
        <v>0</v>
      </c>
      <c r="D133" s="188">
        <v>0</v>
      </c>
      <c r="E133" s="188">
        <v>0</v>
      </c>
      <c r="F133" s="188">
        <v>1053987811.0104743</v>
      </c>
      <c r="G133" s="188">
        <v>547472191.47029364</v>
      </c>
      <c r="H133" s="188">
        <v>500000000</v>
      </c>
      <c r="I133" s="188">
        <v>0</v>
      </c>
      <c r="J133" s="188">
        <v>112020391.73598069</v>
      </c>
      <c r="K133" s="188">
        <v>23000000</v>
      </c>
      <c r="L133" s="188">
        <v>0</v>
      </c>
      <c r="M133" s="188">
        <v>61041051.784276903</v>
      </c>
      <c r="N133" s="188">
        <v>56000000</v>
      </c>
      <c r="O133" s="188">
        <v>36902314.302282669</v>
      </c>
      <c r="P133" s="188">
        <v>141534746.44486183</v>
      </c>
      <c r="Q133" s="188">
        <v>20000000</v>
      </c>
      <c r="S133" s="40"/>
      <c r="AL133" s="40"/>
      <c r="AT133" s="40"/>
    </row>
    <row r="134" spans="1:46">
      <c r="A134" s="40"/>
      <c r="B134" s="188">
        <v>0</v>
      </c>
      <c r="C134" s="188">
        <v>0</v>
      </c>
      <c r="D134" s="188">
        <v>0</v>
      </c>
      <c r="E134" s="188">
        <v>0</v>
      </c>
      <c r="F134" s="188">
        <v>1053987811.0104743</v>
      </c>
      <c r="G134" s="188">
        <v>547472191.47029364</v>
      </c>
      <c r="H134" s="188">
        <v>500000000</v>
      </c>
      <c r="I134" s="188">
        <v>0</v>
      </c>
      <c r="J134" s="188">
        <v>112020391.73598069</v>
      </c>
      <c r="K134" s="188">
        <v>23000000</v>
      </c>
      <c r="L134" s="188">
        <v>0</v>
      </c>
      <c r="M134" s="188">
        <v>61041051.784276903</v>
      </c>
      <c r="N134" s="188">
        <v>56000000</v>
      </c>
      <c r="O134" s="188">
        <v>36902314.302282669</v>
      </c>
      <c r="P134" s="188">
        <v>141534746.44486183</v>
      </c>
      <c r="Q134" s="188">
        <v>20000000</v>
      </c>
      <c r="S134" s="40"/>
      <c r="AL134" s="40"/>
      <c r="AT134" s="40"/>
    </row>
    <row r="135" spans="1:46">
      <c r="A135" s="40"/>
      <c r="B135" s="188">
        <v>0</v>
      </c>
      <c r="C135" s="188">
        <v>0</v>
      </c>
      <c r="D135" s="188">
        <v>0</v>
      </c>
      <c r="E135" s="188">
        <v>0</v>
      </c>
      <c r="F135" s="188">
        <v>1053987811.0104743</v>
      </c>
      <c r="G135" s="188">
        <v>547472191.47029364</v>
      </c>
      <c r="H135" s="188">
        <v>500000000</v>
      </c>
      <c r="I135" s="188">
        <v>0</v>
      </c>
      <c r="J135" s="188">
        <v>112020391.73598069</v>
      </c>
      <c r="K135" s="188">
        <v>23000000</v>
      </c>
      <c r="L135" s="188">
        <v>0</v>
      </c>
      <c r="M135" s="188">
        <v>61041051.784276903</v>
      </c>
      <c r="N135" s="188">
        <v>56000000</v>
      </c>
      <c r="O135" s="188">
        <v>36902314.302282669</v>
      </c>
      <c r="P135" s="188">
        <v>141534746.44486183</v>
      </c>
      <c r="Q135" s="188">
        <v>20000000</v>
      </c>
      <c r="S135" s="40"/>
      <c r="AL135" s="40"/>
      <c r="AT135" s="40"/>
    </row>
    <row r="136" spans="1:46">
      <c r="A136" s="40"/>
      <c r="B136" s="188">
        <v>0</v>
      </c>
      <c r="C136" s="188">
        <v>0</v>
      </c>
      <c r="D136" s="188">
        <v>0</v>
      </c>
      <c r="E136" s="188">
        <v>0</v>
      </c>
      <c r="F136" s="188">
        <v>915607239.41038823</v>
      </c>
      <c r="G136" s="188">
        <v>547472191.47029364</v>
      </c>
      <c r="H136" s="188">
        <v>500000000</v>
      </c>
      <c r="I136" s="188">
        <v>0</v>
      </c>
      <c r="J136" s="188">
        <v>112020391.73598069</v>
      </c>
      <c r="K136" s="188">
        <v>23000000</v>
      </c>
      <c r="L136" s="188">
        <v>0</v>
      </c>
      <c r="M136" s="188">
        <v>61041051.784276903</v>
      </c>
      <c r="N136" s="188">
        <v>56000000</v>
      </c>
      <c r="O136" s="188">
        <v>36902314.302282669</v>
      </c>
      <c r="P136" s="188">
        <v>141534746.44486183</v>
      </c>
      <c r="Q136" s="188">
        <v>20000000</v>
      </c>
      <c r="S136" s="40"/>
      <c r="AL136" s="40"/>
      <c r="AT136" s="40"/>
    </row>
    <row r="137" spans="1:46">
      <c r="A137" s="40"/>
      <c r="B137" s="188">
        <v>0</v>
      </c>
      <c r="C137" s="188">
        <v>0</v>
      </c>
      <c r="D137" s="188">
        <v>0</v>
      </c>
      <c r="E137" s="188">
        <v>0</v>
      </c>
      <c r="F137" s="188">
        <v>915607239.41038823</v>
      </c>
      <c r="G137" s="188">
        <v>547472191.47029364</v>
      </c>
      <c r="H137" s="188">
        <v>500000000</v>
      </c>
      <c r="I137" s="188">
        <v>0</v>
      </c>
      <c r="J137" s="188">
        <v>112020391.73598069</v>
      </c>
      <c r="K137" s="188">
        <v>23000000</v>
      </c>
      <c r="L137" s="188">
        <v>0</v>
      </c>
      <c r="M137" s="188">
        <v>61041051.784276903</v>
      </c>
      <c r="N137" s="188">
        <v>56000000</v>
      </c>
      <c r="O137" s="188">
        <v>36902314.302282669</v>
      </c>
      <c r="P137" s="188">
        <v>141534746.44486183</v>
      </c>
      <c r="Q137" s="188">
        <v>20000000</v>
      </c>
      <c r="S137" s="40"/>
      <c r="AL137" s="40"/>
      <c r="AT137" s="40"/>
    </row>
    <row r="138" spans="1:46">
      <c r="A138" s="40"/>
      <c r="B138" s="188">
        <v>0</v>
      </c>
      <c r="C138" s="188">
        <v>0</v>
      </c>
      <c r="D138" s="188">
        <v>0</v>
      </c>
      <c r="E138" s="188">
        <v>0</v>
      </c>
      <c r="F138" s="188">
        <v>915607239.41038823</v>
      </c>
      <c r="G138" s="188">
        <v>547472191.47029364</v>
      </c>
      <c r="H138" s="188">
        <v>500000000</v>
      </c>
      <c r="I138" s="188">
        <v>0</v>
      </c>
      <c r="J138" s="188">
        <v>112020391.73598069</v>
      </c>
      <c r="K138" s="188">
        <v>23000000</v>
      </c>
      <c r="L138" s="188">
        <v>0</v>
      </c>
      <c r="M138" s="188">
        <v>61041051.784276903</v>
      </c>
      <c r="N138" s="188">
        <v>56000000</v>
      </c>
      <c r="O138" s="188">
        <v>36902314.302282669</v>
      </c>
      <c r="P138" s="188">
        <v>141534746.44486183</v>
      </c>
      <c r="Q138" s="188">
        <v>20000000</v>
      </c>
      <c r="S138" s="40"/>
      <c r="AL138" s="40"/>
      <c r="AT138" s="40"/>
    </row>
    <row r="139" spans="1:46">
      <c r="A139" s="40"/>
      <c r="B139" s="188">
        <v>0</v>
      </c>
      <c r="C139" s="188">
        <v>0</v>
      </c>
      <c r="D139" s="188">
        <v>0</v>
      </c>
      <c r="E139" s="188">
        <v>0</v>
      </c>
      <c r="F139" s="188">
        <v>784734974.97054327</v>
      </c>
      <c r="G139" s="188">
        <v>547472191.47029364</v>
      </c>
      <c r="H139" s="188">
        <v>500000000</v>
      </c>
      <c r="I139" s="188">
        <v>0</v>
      </c>
      <c r="J139" s="188">
        <v>112020391.73598069</v>
      </c>
      <c r="K139" s="188">
        <v>23000000</v>
      </c>
      <c r="L139" s="188">
        <v>0</v>
      </c>
      <c r="M139" s="188">
        <v>61041051.784276903</v>
      </c>
      <c r="N139" s="188">
        <v>56000000</v>
      </c>
      <c r="O139" s="188">
        <v>36902314.302282669</v>
      </c>
      <c r="P139" s="188">
        <v>141534746.44486183</v>
      </c>
      <c r="Q139" s="188">
        <v>20000000</v>
      </c>
      <c r="S139" s="40"/>
      <c r="AL139" s="40"/>
      <c r="AT139" s="40"/>
    </row>
    <row r="140" spans="1:46">
      <c r="A140" s="40"/>
      <c r="B140" s="188">
        <v>0</v>
      </c>
      <c r="C140" s="188">
        <v>0</v>
      </c>
      <c r="D140" s="188">
        <v>0</v>
      </c>
      <c r="E140" s="188">
        <v>0</v>
      </c>
      <c r="F140" s="188">
        <v>784734974.97054327</v>
      </c>
      <c r="G140" s="188">
        <v>547472191.47029364</v>
      </c>
      <c r="H140" s="188">
        <v>500000000</v>
      </c>
      <c r="I140" s="188">
        <v>0</v>
      </c>
      <c r="J140" s="188">
        <v>112020391.73598069</v>
      </c>
      <c r="K140" s="188">
        <v>23000000</v>
      </c>
      <c r="L140" s="188">
        <v>0</v>
      </c>
      <c r="M140" s="188">
        <v>61041051.784276903</v>
      </c>
      <c r="N140" s="188">
        <v>56000000</v>
      </c>
      <c r="O140" s="188">
        <v>36902314.302282669</v>
      </c>
      <c r="P140" s="188">
        <v>141534746.44486183</v>
      </c>
      <c r="Q140" s="188">
        <v>20000000</v>
      </c>
      <c r="S140" s="40"/>
      <c r="AL140" s="40"/>
      <c r="AT140" s="40"/>
    </row>
    <row r="141" spans="1:46">
      <c r="A141" s="40"/>
      <c r="B141" s="188">
        <v>0</v>
      </c>
      <c r="C141" s="188">
        <v>0</v>
      </c>
      <c r="D141" s="188">
        <v>0</v>
      </c>
      <c r="E141" s="188">
        <v>0</v>
      </c>
      <c r="F141" s="188">
        <v>784734974.97054327</v>
      </c>
      <c r="G141" s="188">
        <v>547472191.47029364</v>
      </c>
      <c r="H141" s="188">
        <v>500000000</v>
      </c>
      <c r="I141" s="188">
        <v>0</v>
      </c>
      <c r="J141" s="188">
        <v>112020391.73598069</v>
      </c>
      <c r="K141" s="188">
        <v>23000000</v>
      </c>
      <c r="L141" s="188">
        <v>0</v>
      </c>
      <c r="M141" s="188">
        <v>61041051.784276903</v>
      </c>
      <c r="N141" s="188">
        <v>56000000</v>
      </c>
      <c r="O141" s="188">
        <v>36902314.302282669</v>
      </c>
      <c r="P141" s="188">
        <v>141534746.44486183</v>
      </c>
      <c r="Q141" s="188">
        <v>20000000</v>
      </c>
      <c r="S141" s="40"/>
      <c r="AL141" s="40"/>
      <c r="AT141" s="40"/>
    </row>
    <row r="142" spans="1:46">
      <c r="A142" s="40"/>
      <c r="B142" s="188">
        <v>0</v>
      </c>
      <c r="C142" s="188">
        <v>0</v>
      </c>
      <c r="D142" s="188">
        <v>0</v>
      </c>
      <c r="E142" s="188">
        <v>0</v>
      </c>
      <c r="F142" s="188">
        <v>660963629.0253154</v>
      </c>
      <c r="G142" s="188">
        <v>547472191.47029364</v>
      </c>
      <c r="H142" s="188">
        <v>500000000</v>
      </c>
      <c r="I142" s="188">
        <v>0</v>
      </c>
      <c r="J142" s="188">
        <v>112020391.73598069</v>
      </c>
      <c r="K142" s="188">
        <v>23000000</v>
      </c>
      <c r="L142" s="188">
        <v>0</v>
      </c>
      <c r="M142" s="188">
        <v>61041051.784276903</v>
      </c>
      <c r="N142" s="188">
        <v>56000000</v>
      </c>
      <c r="O142" s="188">
        <v>36902314.302282669</v>
      </c>
      <c r="P142" s="188">
        <v>141534746.44486183</v>
      </c>
      <c r="Q142" s="188">
        <v>20000000</v>
      </c>
      <c r="S142" s="40"/>
      <c r="AL142" s="40"/>
      <c r="AT142" s="40"/>
    </row>
    <row r="143" spans="1:46">
      <c r="A143" s="40"/>
      <c r="B143" s="188">
        <v>0</v>
      </c>
      <c r="C143" s="188">
        <v>0</v>
      </c>
      <c r="D143" s="188">
        <v>0</v>
      </c>
      <c r="E143" s="188">
        <v>0</v>
      </c>
      <c r="F143" s="188">
        <v>660963629.0253154</v>
      </c>
      <c r="G143" s="188">
        <v>547472191.47029364</v>
      </c>
      <c r="H143" s="188">
        <v>500000000</v>
      </c>
      <c r="I143" s="188">
        <v>0</v>
      </c>
      <c r="J143" s="188">
        <v>112020391.73598069</v>
      </c>
      <c r="K143" s="188">
        <v>23000000</v>
      </c>
      <c r="L143" s="188">
        <v>0</v>
      </c>
      <c r="M143" s="188">
        <v>61041051.784276903</v>
      </c>
      <c r="N143" s="188">
        <v>56000000</v>
      </c>
      <c r="O143" s="188">
        <v>36902314.302282669</v>
      </c>
      <c r="P143" s="188">
        <v>141534746.44486183</v>
      </c>
      <c r="Q143" s="188">
        <v>20000000</v>
      </c>
      <c r="S143" s="40"/>
      <c r="AL143" s="40"/>
      <c r="AT143" s="40"/>
    </row>
    <row r="144" spans="1:46">
      <c r="A144" s="40"/>
      <c r="B144" s="188">
        <v>0</v>
      </c>
      <c r="C144" s="188">
        <v>0</v>
      </c>
      <c r="D144" s="188">
        <v>0</v>
      </c>
      <c r="E144" s="188">
        <v>0</v>
      </c>
      <c r="F144" s="188">
        <v>660963629.0253154</v>
      </c>
      <c r="G144" s="188">
        <v>547472191.47029364</v>
      </c>
      <c r="H144" s="188">
        <v>500000000</v>
      </c>
      <c r="I144" s="188">
        <v>0</v>
      </c>
      <c r="J144" s="188">
        <v>112020391.73598069</v>
      </c>
      <c r="K144" s="188">
        <v>23000000</v>
      </c>
      <c r="L144" s="188">
        <v>0</v>
      </c>
      <c r="M144" s="188">
        <v>61041051.784276903</v>
      </c>
      <c r="N144" s="188">
        <v>56000000</v>
      </c>
      <c r="O144" s="188">
        <v>36902314.302282669</v>
      </c>
      <c r="P144" s="188">
        <v>141534746.44486183</v>
      </c>
      <c r="Q144" s="188">
        <v>20000000</v>
      </c>
      <c r="S144" s="40"/>
      <c r="AL144" s="40"/>
      <c r="AT144" s="40"/>
    </row>
    <row r="145" spans="1:46">
      <c r="A145" s="40"/>
      <c r="B145" s="188">
        <v>0</v>
      </c>
      <c r="C145" s="188">
        <v>0</v>
      </c>
      <c r="D145" s="188">
        <v>0</v>
      </c>
      <c r="E145" s="188">
        <v>0</v>
      </c>
      <c r="F145" s="188">
        <v>543907917.16258693</v>
      </c>
      <c r="G145" s="188">
        <v>547472191.47029364</v>
      </c>
      <c r="H145" s="188">
        <v>500000000</v>
      </c>
      <c r="I145" s="188">
        <v>0</v>
      </c>
      <c r="J145" s="188">
        <v>112020391.73598069</v>
      </c>
      <c r="K145" s="188">
        <v>23000000</v>
      </c>
      <c r="L145" s="188">
        <v>0</v>
      </c>
      <c r="M145" s="188">
        <v>61041051.784276903</v>
      </c>
      <c r="N145" s="188">
        <v>56000000</v>
      </c>
      <c r="O145" s="188">
        <v>36902314.302282669</v>
      </c>
      <c r="P145" s="188">
        <v>141534746.44486183</v>
      </c>
      <c r="Q145" s="188">
        <v>20000000</v>
      </c>
      <c r="S145" s="40"/>
      <c r="AL145" s="40"/>
      <c r="AT145" s="40"/>
    </row>
    <row r="146" spans="1:46">
      <c r="A146" s="40"/>
      <c r="B146" s="188">
        <v>0</v>
      </c>
      <c r="C146" s="188">
        <v>0</v>
      </c>
      <c r="D146" s="188">
        <v>0</v>
      </c>
      <c r="E146" s="188">
        <v>0</v>
      </c>
      <c r="F146" s="188">
        <v>543907917.16258693</v>
      </c>
      <c r="G146" s="188">
        <v>547472191.47029364</v>
      </c>
      <c r="H146" s="188">
        <v>500000000</v>
      </c>
      <c r="I146" s="188">
        <v>0</v>
      </c>
      <c r="J146" s="188">
        <v>112020391.73598069</v>
      </c>
      <c r="K146" s="188">
        <v>23000000</v>
      </c>
      <c r="L146" s="188">
        <v>0</v>
      </c>
      <c r="M146" s="188">
        <v>61041051.784276903</v>
      </c>
      <c r="N146" s="188">
        <v>56000000</v>
      </c>
      <c r="O146" s="188">
        <v>36902314.302282669</v>
      </c>
      <c r="P146" s="188">
        <v>141534746.44486183</v>
      </c>
      <c r="Q146" s="188">
        <v>20000000</v>
      </c>
      <c r="S146" s="40"/>
      <c r="AL146" s="40"/>
      <c r="AT146" s="40"/>
    </row>
    <row r="147" spans="1:46">
      <c r="A147" s="40"/>
      <c r="B147" s="188">
        <v>0</v>
      </c>
      <c r="C147" s="188">
        <v>0</v>
      </c>
      <c r="D147" s="188">
        <v>0</v>
      </c>
      <c r="E147" s="188">
        <v>0</v>
      </c>
      <c r="F147" s="188">
        <v>543907917.16258693</v>
      </c>
      <c r="G147" s="188">
        <v>547472191.47029364</v>
      </c>
      <c r="H147" s="188">
        <v>500000000</v>
      </c>
      <c r="I147" s="188">
        <v>0</v>
      </c>
      <c r="J147" s="188">
        <v>112020391.73598069</v>
      </c>
      <c r="K147" s="188">
        <v>23000000</v>
      </c>
      <c r="L147" s="188">
        <v>0</v>
      </c>
      <c r="M147" s="188">
        <v>61041051.784276903</v>
      </c>
      <c r="N147" s="188">
        <v>56000000</v>
      </c>
      <c r="O147" s="188">
        <v>36902314.302282669</v>
      </c>
      <c r="P147" s="188">
        <v>141534746.44486183</v>
      </c>
      <c r="Q147" s="188">
        <v>20000000</v>
      </c>
      <c r="S147" s="40"/>
      <c r="AL147" s="40"/>
      <c r="AT147" s="40"/>
    </row>
    <row r="148" spans="1:46">
      <c r="A148" s="40"/>
      <c r="B148" s="188">
        <v>0</v>
      </c>
      <c r="C148" s="188">
        <v>0</v>
      </c>
      <c r="D148" s="188">
        <v>0</v>
      </c>
      <c r="E148" s="188">
        <v>0</v>
      </c>
      <c r="F148" s="188">
        <v>447582604.18715525</v>
      </c>
      <c r="G148" s="188">
        <v>547472191.47029364</v>
      </c>
      <c r="H148" s="188">
        <v>500000000</v>
      </c>
      <c r="I148" s="188">
        <v>0</v>
      </c>
      <c r="J148" s="188">
        <v>92181740.82997945</v>
      </c>
      <c r="K148" s="188">
        <v>18926732.947752502</v>
      </c>
      <c r="L148" s="188">
        <v>0</v>
      </c>
      <c r="M148" s="188">
        <v>50230768.955258273</v>
      </c>
      <c r="N148" s="188">
        <v>46082480.220614791</v>
      </c>
      <c r="O148" s="188">
        <v>30366967.30231877</v>
      </c>
      <c r="P148" s="188">
        <v>116469145.59955488</v>
      </c>
      <c r="Q148" s="188">
        <v>16458028.650219567</v>
      </c>
      <c r="S148" s="40"/>
      <c r="AL148" s="40"/>
      <c r="AT148" s="40"/>
    </row>
    <row r="149" spans="1:46">
      <c r="A149" s="40"/>
      <c r="B149" s="188">
        <v>0</v>
      </c>
      <c r="C149" s="188">
        <v>0</v>
      </c>
      <c r="D149" s="188">
        <v>0</v>
      </c>
      <c r="E149" s="188">
        <v>0</v>
      </c>
      <c r="F149" s="188">
        <v>447582604.18715525</v>
      </c>
      <c r="G149" s="188">
        <v>547472191.47029364</v>
      </c>
      <c r="H149" s="188">
        <v>500000000</v>
      </c>
      <c r="I149" s="188">
        <v>0</v>
      </c>
      <c r="J149" s="188">
        <v>92181740.82997945</v>
      </c>
      <c r="K149" s="188">
        <v>18926732.947752502</v>
      </c>
      <c r="L149" s="188">
        <v>0</v>
      </c>
      <c r="M149" s="188">
        <v>50230768.955258273</v>
      </c>
      <c r="N149" s="188">
        <v>46082480.220614791</v>
      </c>
      <c r="O149" s="188">
        <v>30366967.30231877</v>
      </c>
      <c r="P149" s="188">
        <v>116469145.59955488</v>
      </c>
      <c r="Q149" s="188">
        <v>16458028.650219567</v>
      </c>
      <c r="S149" s="40"/>
      <c r="AL149" s="40"/>
      <c r="AT149" s="40"/>
    </row>
    <row r="150" spans="1:46">
      <c r="A150" s="40"/>
      <c r="B150" s="188">
        <v>0</v>
      </c>
      <c r="C150" s="188">
        <v>0</v>
      </c>
      <c r="D150" s="188">
        <v>0</v>
      </c>
      <c r="E150" s="188">
        <v>0</v>
      </c>
      <c r="F150" s="188">
        <v>447582604.18715525</v>
      </c>
      <c r="G150" s="188">
        <v>547472191.47029364</v>
      </c>
      <c r="H150" s="188">
        <v>500000000</v>
      </c>
      <c r="I150" s="188">
        <v>0</v>
      </c>
      <c r="J150" s="188">
        <v>92181740.82997945</v>
      </c>
      <c r="K150" s="188">
        <v>18926732.947752502</v>
      </c>
      <c r="L150" s="188">
        <v>0</v>
      </c>
      <c r="M150" s="188">
        <v>50230768.955258273</v>
      </c>
      <c r="N150" s="188">
        <v>46082480.220614791</v>
      </c>
      <c r="O150" s="188">
        <v>30366967.30231877</v>
      </c>
      <c r="P150" s="188">
        <v>116469145.59955488</v>
      </c>
      <c r="Q150" s="188">
        <v>16458028.650219567</v>
      </c>
      <c r="S150" s="40"/>
      <c r="AL150" s="40"/>
      <c r="AT150" s="40"/>
    </row>
    <row r="151" spans="1:46">
      <c r="A151" s="40"/>
      <c r="B151" s="188">
        <v>0</v>
      </c>
      <c r="C151" s="188">
        <v>0</v>
      </c>
      <c r="D151" s="188">
        <v>0</v>
      </c>
      <c r="E151" s="188">
        <v>0</v>
      </c>
      <c r="F151" s="188">
        <v>0</v>
      </c>
      <c r="G151" s="188">
        <v>442594118.56565356</v>
      </c>
      <c r="H151" s="188">
        <v>500000000</v>
      </c>
      <c r="I151" s="188">
        <v>0</v>
      </c>
      <c r="J151" s="188">
        <v>0</v>
      </c>
      <c r="K151" s="188">
        <v>0</v>
      </c>
      <c r="L151" s="188">
        <v>0</v>
      </c>
      <c r="M151" s="188">
        <v>0</v>
      </c>
      <c r="N151" s="188">
        <v>0</v>
      </c>
      <c r="O151" s="188">
        <v>0</v>
      </c>
      <c r="P151" s="188">
        <v>0</v>
      </c>
      <c r="Q151" s="188">
        <v>0</v>
      </c>
      <c r="S151" s="40"/>
      <c r="AL151" s="40"/>
      <c r="AT151" s="40"/>
    </row>
    <row r="152" spans="1:46">
      <c r="A152" s="40"/>
      <c r="B152" s="188">
        <v>0</v>
      </c>
      <c r="C152" s="188">
        <v>0</v>
      </c>
      <c r="D152" s="188">
        <v>0</v>
      </c>
      <c r="E152" s="188">
        <v>0</v>
      </c>
      <c r="F152" s="188">
        <v>0</v>
      </c>
      <c r="G152" s="188">
        <v>442594118.56565356</v>
      </c>
      <c r="H152" s="188">
        <v>500000000</v>
      </c>
      <c r="I152" s="188">
        <v>0</v>
      </c>
      <c r="J152" s="188">
        <v>0</v>
      </c>
      <c r="K152" s="188">
        <v>0</v>
      </c>
      <c r="L152" s="188">
        <v>0</v>
      </c>
      <c r="M152" s="188">
        <v>0</v>
      </c>
      <c r="N152" s="188">
        <v>0</v>
      </c>
      <c r="O152" s="188">
        <v>0</v>
      </c>
      <c r="P152" s="188">
        <v>0</v>
      </c>
      <c r="Q152" s="188">
        <v>0</v>
      </c>
      <c r="S152" s="40"/>
      <c r="AL152" s="40"/>
      <c r="AT152" s="40"/>
    </row>
    <row r="153" spans="1:46">
      <c r="A153" s="40"/>
      <c r="B153" s="188">
        <v>0</v>
      </c>
      <c r="C153" s="188">
        <v>0</v>
      </c>
      <c r="D153" s="188">
        <v>0</v>
      </c>
      <c r="E153" s="188">
        <v>0</v>
      </c>
      <c r="F153" s="188">
        <v>0</v>
      </c>
      <c r="G153" s="188">
        <v>442594118.56565356</v>
      </c>
      <c r="H153" s="188">
        <v>500000000</v>
      </c>
      <c r="I153" s="188">
        <v>0</v>
      </c>
      <c r="J153" s="188">
        <v>0</v>
      </c>
      <c r="K153" s="188">
        <v>0</v>
      </c>
      <c r="L153" s="188">
        <v>0</v>
      </c>
      <c r="M153" s="188">
        <v>0</v>
      </c>
      <c r="N153" s="188">
        <v>0</v>
      </c>
      <c r="O153" s="188">
        <v>0</v>
      </c>
      <c r="P153" s="188">
        <v>0</v>
      </c>
      <c r="Q153" s="188">
        <v>0</v>
      </c>
      <c r="S153" s="40"/>
      <c r="AL153" s="40"/>
      <c r="AT153" s="40"/>
    </row>
    <row r="154" spans="1:46">
      <c r="A154" s="40"/>
      <c r="B154" s="188">
        <v>0</v>
      </c>
      <c r="C154" s="188">
        <v>0</v>
      </c>
      <c r="D154" s="188">
        <v>0</v>
      </c>
      <c r="E154" s="188">
        <v>0</v>
      </c>
      <c r="F154" s="188">
        <v>0</v>
      </c>
      <c r="G154" s="188">
        <v>343406561.14766687</v>
      </c>
      <c r="H154" s="188">
        <v>500000000</v>
      </c>
      <c r="I154" s="188">
        <v>0</v>
      </c>
      <c r="J154" s="188">
        <v>0</v>
      </c>
      <c r="K154" s="188">
        <v>0</v>
      </c>
      <c r="L154" s="188">
        <v>0</v>
      </c>
      <c r="M154" s="188">
        <v>0</v>
      </c>
      <c r="N154" s="188">
        <v>0</v>
      </c>
      <c r="O154" s="188">
        <v>0</v>
      </c>
      <c r="P154" s="188">
        <v>0</v>
      </c>
      <c r="Q154" s="188">
        <v>0</v>
      </c>
      <c r="S154" s="40"/>
      <c r="AL154" s="40"/>
      <c r="AT154" s="40"/>
    </row>
    <row r="155" spans="1:46">
      <c r="A155" s="40"/>
      <c r="B155" s="188">
        <v>0</v>
      </c>
      <c r="C155" s="188">
        <v>0</v>
      </c>
      <c r="D155" s="188">
        <v>0</v>
      </c>
      <c r="E155" s="188">
        <v>0</v>
      </c>
      <c r="F155" s="188">
        <v>0</v>
      </c>
      <c r="G155" s="188">
        <v>343406561.14766687</v>
      </c>
      <c r="H155" s="188">
        <v>500000000</v>
      </c>
      <c r="I155" s="188">
        <v>0</v>
      </c>
      <c r="J155" s="188">
        <v>0</v>
      </c>
      <c r="K155" s="188">
        <v>0</v>
      </c>
      <c r="L155" s="188">
        <v>0</v>
      </c>
      <c r="M155" s="188">
        <v>0</v>
      </c>
      <c r="N155" s="188">
        <v>0</v>
      </c>
      <c r="O155" s="188">
        <v>0</v>
      </c>
      <c r="P155" s="188">
        <v>0</v>
      </c>
      <c r="Q155" s="188">
        <v>0</v>
      </c>
      <c r="S155" s="40"/>
      <c r="AL155" s="40"/>
      <c r="AT155" s="40"/>
    </row>
    <row r="156" spans="1:46">
      <c r="A156" s="40"/>
      <c r="B156" s="188">
        <v>0</v>
      </c>
      <c r="C156" s="188">
        <v>0</v>
      </c>
      <c r="D156" s="188">
        <v>0</v>
      </c>
      <c r="E156" s="188">
        <v>0</v>
      </c>
      <c r="F156" s="188">
        <v>0</v>
      </c>
      <c r="G156" s="188">
        <v>343406561.14766687</v>
      </c>
      <c r="H156" s="188">
        <v>500000000</v>
      </c>
      <c r="I156" s="188">
        <v>0</v>
      </c>
      <c r="J156" s="188">
        <v>0</v>
      </c>
      <c r="K156" s="188">
        <v>0</v>
      </c>
      <c r="L156" s="188">
        <v>0</v>
      </c>
      <c r="M156" s="188">
        <v>0</v>
      </c>
      <c r="N156" s="188">
        <v>0</v>
      </c>
      <c r="O156" s="188">
        <v>0</v>
      </c>
      <c r="P156" s="188">
        <v>0</v>
      </c>
      <c r="Q156" s="188">
        <v>0</v>
      </c>
      <c r="S156" s="40"/>
      <c r="AL156" s="40"/>
      <c r="AT156" s="40"/>
    </row>
    <row r="157" spans="1:46">
      <c r="A157" s="40"/>
      <c r="B157" s="188">
        <v>0</v>
      </c>
      <c r="C157" s="188">
        <v>0</v>
      </c>
      <c r="D157" s="188">
        <v>0</v>
      </c>
      <c r="E157" s="188">
        <v>0</v>
      </c>
      <c r="F157" s="188">
        <v>0</v>
      </c>
      <c r="G157" s="188">
        <v>249600761.0020853</v>
      </c>
      <c r="H157" s="188">
        <v>500000000</v>
      </c>
      <c r="I157" s="188">
        <v>0</v>
      </c>
      <c r="J157" s="188">
        <v>0</v>
      </c>
      <c r="K157" s="188">
        <v>0</v>
      </c>
      <c r="L157" s="188">
        <v>0</v>
      </c>
      <c r="M157" s="188">
        <v>0</v>
      </c>
      <c r="N157" s="188">
        <v>0</v>
      </c>
      <c r="O157" s="188">
        <v>0</v>
      </c>
      <c r="P157" s="188">
        <v>0</v>
      </c>
      <c r="Q157" s="188">
        <v>0</v>
      </c>
      <c r="S157" s="40"/>
      <c r="AL157" s="40"/>
      <c r="AT157" s="40"/>
    </row>
    <row r="158" spans="1:46">
      <c r="A158" s="40"/>
      <c r="B158" s="188">
        <v>0</v>
      </c>
      <c r="C158" s="188">
        <v>0</v>
      </c>
      <c r="D158" s="188">
        <v>0</v>
      </c>
      <c r="E158" s="188">
        <v>0</v>
      </c>
      <c r="F158" s="188">
        <v>0</v>
      </c>
      <c r="G158" s="188">
        <v>249600761.0020853</v>
      </c>
      <c r="H158" s="188">
        <v>500000000</v>
      </c>
      <c r="I158" s="188">
        <v>0</v>
      </c>
      <c r="J158" s="188">
        <v>0</v>
      </c>
      <c r="K158" s="188">
        <v>0</v>
      </c>
      <c r="L158" s="188">
        <v>0</v>
      </c>
      <c r="M158" s="188">
        <v>0</v>
      </c>
      <c r="N158" s="188">
        <v>0</v>
      </c>
      <c r="O158" s="188">
        <v>0</v>
      </c>
      <c r="P158" s="188">
        <v>0</v>
      </c>
      <c r="Q158" s="188">
        <v>0</v>
      </c>
      <c r="S158" s="40"/>
      <c r="AL158" s="40"/>
      <c r="AT158" s="40"/>
    </row>
    <row r="159" spans="1:46">
      <c r="A159" s="40"/>
      <c r="B159" s="188">
        <v>0</v>
      </c>
      <c r="C159" s="188">
        <v>0</v>
      </c>
      <c r="D159" s="188">
        <v>0</v>
      </c>
      <c r="E159" s="188">
        <v>0</v>
      </c>
      <c r="F159" s="188">
        <v>0</v>
      </c>
      <c r="G159" s="188">
        <v>249600761.0020853</v>
      </c>
      <c r="H159" s="188">
        <v>500000000</v>
      </c>
      <c r="I159" s="188">
        <v>0</v>
      </c>
      <c r="J159" s="188">
        <v>0</v>
      </c>
      <c r="K159" s="188">
        <v>0</v>
      </c>
      <c r="L159" s="188">
        <v>0</v>
      </c>
      <c r="M159" s="188">
        <v>0</v>
      </c>
      <c r="N159" s="188">
        <v>0</v>
      </c>
      <c r="O159" s="188">
        <v>0</v>
      </c>
      <c r="P159" s="188">
        <v>0</v>
      </c>
      <c r="Q159" s="188">
        <v>0</v>
      </c>
      <c r="S159" s="40"/>
      <c r="AL159" s="40"/>
      <c r="AT159" s="40"/>
    </row>
    <row r="160" spans="1:46">
      <c r="A160" s="40"/>
      <c r="B160" s="188">
        <v>0</v>
      </c>
      <c r="C160" s="188">
        <v>0</v>
      </c>
      <c r="D160" s="188">
        <v>0</v>
      </c>
      <c r="E160" s="188">
        <v>0</v>
      </c>
      <c r="F160" s="188">
        <v>0</v>
      </c>
      <c r="G160" s="188">
        <v>160884712.63857263</v>
      </c>
      <c r="H160" s="188">
        <v>500000000</v>
      </c>
      <c r="I160" s="188">
        <v>0</v>
      </c>
      <c r="J160" s="188">
        <v>0</v>
      </c>
      <c r="K160" s="188">
        <v>0</v>
      </c>
      <c r="L160" s="188">
        <v>0</v>
      </c>
      <c r="M160" s="188">
        <v>0</v>
      </c>
      <c r="N160" s="188">
        <v>0</v>
      </c>
      <c r="O160" s="188">
        <v>0</v>
      </c>
      <c r="P160" s="188">
        <v>0</v>
      </c>
      <c r="Q160" s="188">
        <v>0</v>
      </c>
      <c r="S160" s="40"/>
      <c r="AL160" s="40"/>
      <c r="AT160" s="40"/>
    </row>
    <row r="161" spans="1:46">
      <c r="A161" s="40"/>
      <c r="B161" s="188">
        <v>0</v>
      </c>
      <c r="C161" s="188">
        <v>0</v>
      </c>
      <c r="D161" s="188">
        <v>0</v>
      </c>
      <c r="E161" s="188">
        <v>0</v>
      </c>
      <c r="F161" s="188">
        <v>0</v>
      </c>
      <c r="G161" s="188">
        <v>160884712.63857263</v>
      </c>
      <c r="H161" s="188">
        <v>500000000</v>
      </c>
      <c r="I161" s="188">
        <v>0</v>
      </c>
      <c r="J161" s="188">
        <v>0</v>
      </c>
      <c r="K161" s="188">
        <v>0</v>
      </c>
      <c r="L161" s="188">
        <v>0</v>
      </c>
      <c r="M161" s="188">
        <v>0</v>
      </c>
      <c r="N161" s="188">
        <v>0</v>
      </c>
      <c r="O161" s="188">
        <v>0</v>
      </c>
      <c r="P161" s="188">
        <v>0</v>
      </c>
      <c r="Q161" s="188">
        <v>0</v>
      </c>
      <c r="S161" s="40"/>
      <c r="AL161" s="40"/>
      <c r="AT161" s="40"/>
    </row>
    <row r="162" spans="1:46">
      <c r="A162" s="40"/>
      <c r="B162" s="188">
        <v>0</v>
      </c>
      <c r="C162" s="188">
        <v>0</v>
      </c>
      <c r="D162" s="188">
        <v>0</v>
      </c>
      <c r="E162" s="188">
        <v>0</v>
      </c>
      <c r="F162" s="188">
        <v>0</v>
      </c>
      <c r="G162" s="188">
        <v>160884712.63857263</v>
      </c>
      <c r="H162" s="188">
        <v>500000000</v>
      </c>
      <c r="I162" s="188">
        <v>0</v>
      </c>
      <c r="J162" s="188">
        <v>0</v>
      </c>
      <c r="K162" s="188">
        <v>0</v>
      </c>
      <c r="L162" s="188">
        <v>0</v>
      </c>
      <c r="M162" s="188">
        <v>0</v>
      </c>
      <c r="N162" s="188">
        <v>0</v>
      </c>
      <c r="O162" s="188">
        <v>0</v>
      </c>
      <c r="P162" s="188">
        <v>0</v>
      </c>
      <c r="Q162" s="188">
        <v>0</v>
      </c>
      <c r="S162" s="40"/>
      <c r="AL162" s="40"/>
      <c r="AT162" s="40"/>
    </row>
    <row r="163" spans="1:46">
      <c r="A163" s="40"/>
      <c r="B163" s="188">
        <v>0</v>
      </c>
      <c r="C163" s="188">
        <v>0</v>
      </c>
      <c r="D163" s="188">
        <v>0</v>
      </c>
      <c r="E163" s="188">
        <v>0</v>
      </c>
      <c r="F163" s="188">
        <v>0</v>
      </c>
      <c r="G163" s="188">
        <v>76982254.314860642</v>
      </c>
      <c r="H163" s="188">
        <v>500000000</v>
      </c>
      <c r="I163" s="188">
        <v>0</v>
      </c>
      <c r="J163" s="188">
        <v>0</v>
      </c>
      <c r="K163" s="188">
        <v>0</v>
      </c>
      <c r="L163" s="188">
        <v>0</v>
      </c>
      <c r="M163" s="188">
        <v>0</v>
      </c>
      <c r="N163" s="188">
        <v>0</v>
      </c>
      <c r="O163" s="188">
        <v>0</v>
      </c>
      <c r="P163" s="188">
        <v>0</v>
      </c>
      <c r="Q163" s="188">
        <v>0</v>
      </c>
      <c r="S163" s="40"/>
      <c r="AL163" s="40"/>
      <c r="AT163" s="40"/>
    </row>
    <row r="164" spans="1:46">
      <c r="A164" s="40"/>
      <c r="B164" s="188">
        <v>0</v>
      </c>
      <c r="C164" s="188">
        <v>0</v>
      </c>
      <c r="D164" s="188">
        <v>0</v>
      </c>
      <c r="E164" s="188">
        <v>0</v>
      </c>
      <c r="F164" s="188">
        <v>0</v>
      </c>
      <c r="G164" s="188">
        <v>76982254.314860642</v>
      </c>
      <c r="H164" s="188">
        <v>500000000</v>
      </c>
      <c r="I164" s="188">
        <v>0</v>
      </c>
      <c r="J164" s="188">
        <v>0</v>
      </c>
      <c r="K164" s="188">
        <v>0</v>
      </c>
      <c r="L164" s="188">
        <v>0</v>
      </c>
      <c r="M164" s="188">
        <v>0</v>
      </c>
      <c r="N164" s="188">
        <v>0</v>
      </c>
      <c r="O164" s="188">
        <v>0</v>
      </c>
      <c r="P164" s="188">
        <v>0</v>
      </c>
      <c r="Q164" s="188">
        <v>0</v>
      </c>
      <c r="S164" s="40"/>
      <c r="AL164" s="40"/>
      <c r="AT164" s="40"/>
    </row>
    <row r="165" spans="1:46">
      <c r="A165" s="40"/>
      <c r="B165" s="188">
        <v>0</v>
      </c>
      <c r="C165" s="188">
        <v>0</v>
      </c>
      <c r="D165" s="188">
        <v>0</v>
      </c>
      <c r="E165" s="188">
        <v>0</v>
      </c>
      <c r="F165" s="188">
        <v>0</v>
      </c>
      <c r="G165" s="188">
        <v>76982254.314860642</v>
      </c>
      <c r="H165" s="188">
        <v>500000000</v>
      </c>
      <c r="I165" s="188">
        <v>0</v>
      </c>
      <c r="J165" s="188">
        <v>0</v>
      </c>
      <c r="K165" s="188">
        <v>0</v>
      </c>
      <c r="L165" s="188">
        <v>0</v>
      </c>
      <c r="M165" s="188">
        <v>0</v>
      </c>
      <c r="N165" s="188">
        <v>0</v>
      </c>
      <c r="O165" s="188">
        <v>0</v>
      </c>
      <c r="P165" s="188">
        <v>0</v>
      </c>
      <c r="Q165" s="188">
        <v>0</v>
      </c>
      <c r="S165" s="40"/>
      <c r="AL165" s="40"/>
      <c r="AT165" s="40"/>
    </row>
    <row r="166" spans="1:46">
      <c r="A166" s="40"/>
      <c r="B166" s="188">
        <v>0</v>
      </c>
      <c r="C166" s="188">
        <v>0</v>
      </c>
      <c r="D166" s="188">
        <v>0</v>
      </c>
      <c r="E166" s="188">
        <v>0</v>
      </c>
      <c r="F166" s="188">
        <v>0</v>
      </c>
      <c r="G166" s="188">
        <v>0</v>
      </c>
      <c r="H166" s="188">
        <v>498066311.06189919</v>
      </c>
      <c r="I166" s="188">
        <v>0</v>
      </c>
      <c r="J166" s="188">
        <v>0</v>
      </c>
      <c r="K166" s="188">
        <v>0</v>
      </c>
      <c r="L166" s="188">
        <v>0</v>
      </c>
      <c r="M166" s="188">
        <v>0</v>
      </c>
      <c r="N166" s="188">
        <v>0</v>
      </c>
      <c r="O166" s="188">
        <v>0</v>
      </c>
      <c r="P166" s="188">
        <v>0</v>
      </c>
      <c r="Q166" s="188">
        <v>0</v>
      </c>
      <c r="S166" s="40"/>
      <c r="AL166" s="40"/>
      <c r="AT166" s="40"/>
    </row>
    <row r="167" spans="1:46">
      <c r="A167" s="40"/>
      <c r="B167" s="188">
        <v>0</v>
      </c>
      <c r="C167" s="188">
        <v>0</v>
      </c>
      <c r="D167" s="188">
        <v>0</v>
      </c>
      <c r="E167" s="188">
        <v>0</v>
      </c>
      <c r="F167" s="188">
        <v>0</v>
      </c>
      <c r="G167" s="188">
        <v>0</v>
      </c>
      <c r="H167" s="188">
        <v>498066311.06189919</v>
      </c>
      <c r="I167" s="188">
        <v>0</v>
      </c>
      <c r="J167" s="188">
        <v>0</v>
      </c>
      <c r="K167" s="188">
        <v>0</v>
      </c>
      <c r="L167" s="188">
        <v>0</v>
      </c>
      <c r="M167" s="188">
        <v>0</v>
      </c>
      <c r="N167" s="188">
        <v>0</v>
      </c>
      <c r="O167" s="188">
        <v>0</v>
      </c>
      <c r="P167" s="188">
        <v>0</v>
      </c>
      <c r="Q167" s="188">
        <v>0</v>
      </c>
      <c r="S167" s="40"/>
      <c r="AL167" s="40"/>
      <c r="AT167" s="40"/>
    </row>
    <row r="168" spans="1:46">
      <c r="A168" s="40"/>
      <c r="B168" s="188">
        <v>0</v>
      </c>
      <c r="C168" s="188">
        <v>0</v>
      </c>
      <c r="D168" s="188">
        <v>0</v>
      </c>
      <c r="E168" s="188">
        <v>0</v>
      </c>
      <c r="F168" s="188">
        <v>0</v>
      </c>
      <c r="G168" s="188">
        <v>0</v>
      </c>
      <c r="H168" s="188">
        <v>498066311.06189919</v>
      </c>
      <c r="I168" s="188">
        <v>0</v>
      </c>
      <c r="J168" s="188">
        <v>0</v>
      </c>
      <c r="K168" s="188">
        <v>0</v>
      </c>
      <c r="L168" s="188">
        <v>0</v>
      </c>
      <c r="M168" s="188">
        <v>0</v>
      </c>
      <c r="N168" s="188">
        <v>0</v>
      </c>
      <c r="O168" s="188">
        <v>0</v>
      </c>
      <c r="P168" s="188">
        <v>0</v>
      </c>
      <c r="Q168" s="188">
        <v>0</v>
      </c>
      <c r="S168" s="40"/>
      <c r="AL168" s="40"/>
      <c r="AT168" s="40"/>
    </row>
    <row r="169" spans="1:46">
      <c r="A169" s="40"/>
      <c r="B169" s="188">
        <v>0</v>
      </c>
      <c r="C169" s="188">
        <v>0</v>
      </c>
      <c r="D169" s="188">
        <v>0</v>
      </c>
      <c r="E169" s="188">
        <v>0</v>
      </c>
      <c r="F169" s="188">
        <v>0</v>
      </c>
      <c r="G169" s="188">
        <v>0</v>
      </c>
      <c r="H169" s="188">
        <v>0</v>
      </c>
      <c r="I169" s="188">
        <v>0</v>
      </c>
      <c r="J169" s="188">
        <v>0</v>
      </c>
      <c r="K169" s="188">
        <v>0</v>
      </c>
      <c r="L169" s="188">
        <v>0</v>
      </c>
      <c r="M169" s="188">
        <v>0</v>
      </c>
      <c r="N169" s="188">
        <v>0</v>
      </c>
      <c r="O169" s="188">
        <v>0</v>
      </c>
      <c r="P169" s="188">
        <v>0</v>
      </c>
      <c r="Q169" s="188">
        <v>0</v>
      </c>
      <c r="S169" s="40"/>
      <c r="AL169" s="40"/>
      <c r="AT169" s="40"/>
    </row>
    <row r="170" spans="1:46">
      <c r="A170" s="40"/>
      <c r="S170" s="40"/>
      <c r="AL170" s="40"/>
      <c r="AT170" s="40"/>
    </row>
    <row r="171" spans="1:46">
      <c r="A171" s="40"/>
      <c r="S171" s="40"/>
      <c r="AL171" s="40"/>
      <c r="AT171" s="40"/>
    </row>
    <row r="172" spans="1:46">
      <c r="A172" s="40"/>
      <c r="S172" s="40"/>
      <c r="AL172" s="40"/>
      <c r="AT172" s="40"/>
    </row>
    <row r="173" spans="1:46">
      <c r="A173" s="40"/>
      <c r="S173" s="40"/>
      <c r="AL173" s="40"/>
      <c r="AT173" s="40"/>
    </row>
    <row r="174" spans="1:46">
      <c r="A174" s="40"/>
      <c r="S174" s="40"/>
      <c r="AL174" s="40"/>
      <c r="AT174" s="40"/>
    </row>
    <row r="175" spans="1:46">
      <c r="A175" s="40"/>
      <c r="B175" s="99">
        <f t="shared" ref="B175:B206" si="133">+B88-B4</f>
        <v>0</v>
      </c>
      <c r="C175" s="99">
        <f t="shared" ref="C175:Q175" si="134">+C88-C4</f>
        <v>0</v>
      </c>
      <c r="D175" s="99">
        <f t="shared" si="134"/>
        <v>0</v>
      </c>
      <c r="E175" s="99">
        <f t="shared" si="134"/>
        <v>0</v>
      </c>
      <c r="F175" s="99">
        <f t="shared" si="134"/>
        <v>0</v>
      </c>
      <c r="G175" s="99">
        <f t="shared" si="134"/>
        <v>0</v>
      </c>
      <c r="H175" s="99">
        <f t="shared" si="134"/>
        <v>0</v>
      </c>
      <c r="I175" s="99">
        <f t="shared" si="134"/>
        <v>0</v>
      </c>
      <c r="J175" s="99">
        <f t="shared" si="134"/>
        <v>0</v>
      </c>
      <c r="K175" s="99">
        <f t="shared" si="134"/>
        <v>0</v>
      </c>
      <c r="L175" s="99">
        <f t="shared" si="134"/>
        <v>0</v>
      </c>
      <c r="M175" s="99">
        <f t="shared" si="134"/>
        <v>0</v>
      </c>
      <c r="N175" s="99">
        <f t="shared" si="134"/>
        <v>0</v>
      </c>
      <c r="O175" s="99">
        <f t="shared" si="134"/>
        <v>0</v>
      </c>
      <c r="P175" s="99">
        <f t="shared" si="134"/>
        <v>0</v>
      </c>
      <c r="Q175" s="99">
        <f t="shared" si="134"/>
        <v>0</v>
      </c>
      <c r="S175" s="40"/>
      <c r="AL175" s="40"/>
      <c r="AT175" s="40"/>
    </row>
    <row r="176" spans="1:46">
      <c r="A176" s="40"/>
      <c r="B176" s="99">
        <f t="shared" si="133"/>
        <v>0</v>
      </c>
      <c r="C176" s="99">
        <f t="shared" ref="C176:Q176" si="135">+C89-C5</f>
        <v>0</v>
      </c>
      <c r="D176" s="99">
        <f t="shared" si="135"/>
        <v>0</v>
      </c>
      <c r="E176" s="99">
        <f t="shared" si="135"/>
        <v>0</v>
      </c>
      <c r="F176" s="99">
        <f t="shared" si="135"/>
        <v>0</v>
      </c>
      <c r="G176" s="99">
        <f t="shared" si="135"/>
        <v>0</v>
      </c>
      <c r="H176" s="99">
        <f t="shared" si="135"/>
        <v>0</v>
      </c>
      <c r="I176" s="99">
        <f t="shared" si="135"/>
        <v>0</v>
      </c>
      <c r="J176" s="99">
        <f t="shared" si="135"/>
        <v>0</v>
      </c>
      <c r="K176" s="99">
        <f t="shared" si="135"/>
        <v>0</v>
      </c>
      <c r="L176" s="99">
        <f t="shared" si="135"/>
        <v>0</v>
      </c>
      <c r="M176" s="99">
        <f t="shared" si="135"/>
        <v>0</v>
      </c>
      <c r="N176" s="99">
        <f t="shared" si="135"/>
        <v>0</v>
      </c>
      <c r="O176" s="99">
        <f t="shared" si="135"/>
        <v>0</v>
      </c>
      <c r="P176" s="99">
        <f t="shared" si="135"/>
        <v>0</v>
      </c>
      <c r="Q176" s="99">
        <f t="shared" si="135"/>
        <v>0</v>
      </c>
      <c r="S176" s="40"/>
      <c r="AL176" s="40"/>
      <c r="AT176" s="40"/>
    </row>
    <row r="177" spans="1:46">
      <c r="A177" s="40"/>
      <c r="B177" s="99">
        <f t="shared" si="133"/>
        <v>0</v>
      </c>
      <c r="C177" s="99">
        <f t="shared" ref="C177:Q177" si="136">+C90-C6</f>
        <v>0</v>
      </c>
      <c r="D177" s="99">
        <f t="shared" si="136"/>
        <v>0</v>
      </c>
      <c r="E177" s="99">
        <f t="shared" si="136"/>
        <v>0</v>
      </c>
      <c r="F177" s="99">
        <f t="shared" si="136"/>
        <v>0</v>
      </c>
      <c r="G177" s="99">
        <f t="shared" si="136"/>
        <v>0</v>
      </c>
      <c r="H177" s="99">
        <f t="shared" si="136"/>
        <v>0</v>
      </c>
      <c r="I177" s="99">
        <f t="shared" si="136"/>
        <v>0</v>
      </c>
      <c r="J177" s="99">
        <f t="shared" si="136"/>
        <v>0</v>
      </c>
      <c r="K177" s="99">
        <f t="shared" si="136"/>
        <v>0</v>
      </c>
      <c r="L177" s="99">
        <f t="shared" si="136"/>
        <v>0</v>
      </c>
      <c r="M177" s="99">
        <f t="shared" si="136"/>
        <v>0</v>
      </c>
      <c r="N177" s="99">
        <f t="shared" si="136"/>
        <v>0</v>
      </c>
      <c r="O177" s="99">
        <f t="shared" si="136"/>
        <v>0</v>
      </c>
      <c r="P177" s="99">
        <f t="shared" si="136"/>
        <v>0</v>
      </c>
      <c r="Q177" s="99">
        <f t="shared" si="136"/>
        <v>0</v>
      </c>
      <c r="S177" s="40"/>
      <c r="AL177" s="40"/>
      <c r="AT177" s="40"/>
    </row>
    <row r="178" spans="1:46">
      <c r="A178" s="40"/>
      <c r="B178" s="99">
        <f t="shared" si="133"/>
        <v>0</v>
      </c>
      <c r="C178" s="99">
        <f t="shared" ref="C178:Q178" si="137">+C91-C7</f>
        <v>0</v>
      </c>
      <c r="D178" s="99">
        <f t="shared" si="137"/>
        <v>0</v>
      </c>
      <c r="E178" s="99">
        <f t="shared" si="137"/>
        <v>0</v>
      </c>
      <c r="F178" s="99">
        <f t="shared" si="137"/>
        <v>0</v>
      </c>
      <c r="G178" s="99">
        <f t="shared" si="137"/>
        <v>0</v>
      </c>
      <c r="H178" s="99">
        <f t="shared" si="137"/>
        <v>0</v>
      </c>
      <c r="I178" s="99">
        <f t="shared" si="137"/>
        <v>0</v>
      </c>
      <c r="J178" s="99">
        <f t="shared" si="137"/>
        <v>0</v>
      </c>
      <c r="K178" s="99">
        <f t="shared" si="137"/>
        <v>0</v>
      </c>
      <c r="L178" s="99">
        <f t="shared" si="137"/>
        <v>0</v>
      </c>
      <c r="M178" s="99">
        <f t="shared" si="137"/>
        <v>0</v>
      </c>
      <c r="N178" s="99">
        <f t="shared" si="137"/>
        <v>0</v>
      </c>
      <c r="O178" s="99">
        <f t="shared" si="137"/>
        <v>0</v>
      </c>
      <c r="P178" s="99">
        <f t="shared" si="137"/>
        <v>0</v>
      </c>
      <c r="Q178" s="99">
        <f t="shared" si="137"/>
        <v>0</v>
      </c>
      <c r="S178" s="40"/>
      <c r="AL178" s="40"/>
      <c r="AT178" s="40"/>
    </row>
    <row r="179" spans="1:46">
      <c r="A179" s="40"/>
      <c r="B179" s="99">
        <f t="shared" si="133"/>
        <v>0</v>
      </c>
      <c r="C179" s="99">
        <f t="shared" ref="C179:Q179" si="138">+C92-C8</f>
        <v>0</v>
      </c>
      <c r="D179" s="99">
        <f t="shared" si="138"/>
        <v>0</v>
      </c>
      <c r="E179" s="99">
        <f t="shared" si="138"/>
        <v>0</v>
      </c>
      <c r="F179" s="99">
        <f t="shared" si="138"/>
        <v>0</v>
      </c>
      <c r="G179" s="99">
        <f t="shared" si="138"/>
        <v>0</v>
      </c>
      <c r="H179" s="99">
        <f t="shared" si="138"/>
        <v>0</v>
      </c>
      <c r="I179" s="99">
        <f t="shared" si="138"/>
        <v>0</v>
      </c>
      <c r="J179" s="99">
        <f t="shared" si="138"/>
        <v>0</v>
      </c>
      <c r="K179" s="99">
        <f t="shared" si="138"/>
        <v>0</v>
      </c>
      <c r="L179" s="99">
        <f t="shared" si="138"/>
        <v>0</v>
      </c>
      <c r="M179" s="99">
        <f t="shared" si="138"/>
        <v>0</v>
      </c>
      <c r="N179" s="99">
        <f t="shared" si="138"/>
        <v>0</v>
      </c>
      <c r="O179" s="99">
        <f t="shared" si="138"/>
        <v>0</v>
      </c>
      <c r="P179" s="99">
        <f t="shared" si="138"/>
        <v>0</v>
      </c>
      <c r="Q179" s="99">
        <f t="shared" si="138"/>
        <v>0</v>
      </c>
      <c r="S179" s="40"/>
      <c r="AL179" s="40"/>
      <c r="AT179" s="40"/>
    </row>
    <row r="180" spans="1:46">
      <c r="A180" s="40"/>
      <c r="B180" s="99">
        <f t="shared" si="133"/>
        <v>0</v>
      </c>
      <c r="C180" s="99">
        <f t="shared" ref="C180:Q180" si="139">+C93-C9</f>
        <v>0</v>
      </c>
      <c r="D180" s="99">
        <f t="shared" si="139"/>
        <v>0</v>
      </c>
      <c r="E180" s="99">
        <f t="shared" si="139"/>
        <v>0</v>
      </c>
      <c r="F180" s="99">
        <f t="shared" si="139"/>
        <v>0</v>
      </c>
      <c r="G180" s="99">
        <f t="shared" si="139"/>
        <v>0</v>
      </c>
      <c r="H180" s="99">
        <f t="shared" si="139"/>
        <v>0</v>
      </c>
      <c r="I180" s="99">
        <f t="shared" si="139"/>
        <v>0</v>
      </c>
      <c r="J180" s="99">
        <f t="shared" si="139"/>
        <v>0</v>
      </c>
      <c r="K180" s="99">
        <f t="shared" si="139"/>
        <v>0</v>
      </c>
      <c r="L180" s="99">
        <f t="shared" si="139"/>
        <v>0</v>
      </c>
      <c r="M180" s="99">
        <f t="shared" si="139"/>
        <v>0</v>
      </c>
      <c r="N180" s="99">
        <f t="shared" si="139"/>
        <v>0</v>
      </c>
      <c r="O180" s="99">
        <f t="shared" si="139"/>
        <v>0</v>
      </c>
      <c r="P180" s="99">
        <f t="shared" si="139"/>
        <v>0</v>
      </c>
      <c r="Q180" s="99">
        <f t="shared" si="139"/>
        <v>0</v>
      </c>
      <c r="S180" s="40"/>
      <c r="AL180" s="40"/>
      <c r="AT180" s="40"/>
    </row>
    <row r="181" spans="1:46">
      <c r="A181" s="40"/>
      <c r="B181" s="99">
        <f t="shared" si="133"/>
        <v>0</v>
      </c>
      <c r="C181" s="99">
        <f t="shared" ref="C181:Q181" si="140">+C94-C10</f>
        <v>0</v>
      </c>
      <c r="D181" s="99">
        <f t="shared" si="140"/>
        <v>0</v>
      </c>
      <c r="E181" s="99">
        <f t="shared" si="140"/>
        <v>0</v>
      </c>
      <c r="F181" s="99">
        <f t="shared" si="140"/>
        <v>0</v>
      </c>
      <c r="G181" s="99">
        <f t="shared" si="140"/>
        <v>0</v>
      </c>
      <c r="H181" s="99">
        <f t="shared" si="140"/>
        <v>0</v>
      </c>
      <c r="I181" s="99">
        <f t="shared" si="140"/>
        <v>0</v>
      </c>
      <c r="J181" s="99">
        <f t="shared" si="140"/>
        <v>0</v>
      </c>
      <c r="K181" s="99">
        <f t="shared" si="140"/>
        <v>0</v>
      </c>
      <c r="L181" s="99">
        <f t="shared" si="140"/>
        <v>0</v>
      </c>
      <c r="M181" s="99">
        <f t="shared" si="140"/>
        <v>0</v>
      </c>
      <c r="N181" s="99">
        <f t="shared" si="140"/>
        <v>0</v>
      </c>
      <c r="O181" s="99">
        <f t="shared" si="140"/>
        <v>0</v>
      </c>
      <c r="P181" s="99">
        <f t="shared" si="140"/>
        <v>0</v>
      </c>
      <c r="Q181" s="99">
        <f t="shared" si="140"/>
        <v>0</v>
      </c>
      <c r="S181" s="40"/>
      <c r="AL181" s="40"/>
      <c r="AT181" s="40"/>
    </row>
    <row r="182" spans="1:46">
      <c r="A182" s="40"/>
      <c r="B182" s="99">
        <f t="shared" si="133"/>
        <v>0</v>
      </c>
      <c r="C182" s="99">
        <f t="shared" ref="C182:Q182" si="141">+C95-C11</f>
        <v>0</v>
      </c>
      <c r="D182" s="99">
        <f t="shared" si="141"/>
        <v>0</v>
      </c>
      <c r="E182" s="99">
        <f t="shared" si="141"/>
        <v>0</v>
      </c>
      <c r="F182" s="99">
        <f t="shared" si="141"/>
        <v>0</v>
      </c>
      <c r="G182" s="99">
        <f t="shared" si="141"/>
        <v>0</v>
      </c>
      <c r="H182" s="99">
        <f t="shared" si="141"/>
        <v>0</v>
      </c>
      <c r="I182" s="99">
        <f t="shared" si="141"/>
        <v>0</v>
      </c>
      <c r="J182" s="99">
        <f t="shared" si="141"/>
        <v>0</v>
      </c>
      <c r="K182" s="99">
        <f t="shared" si="141"/>
        <v>0</v>
      </c>
      <c r="L182" s="99">
        <f t="shared" si="141"/>
        <v>0</v>
      </c>
      <c r="M182" s="99">
        <f t="shared" si="141"/>
        <v>0</v>
      </c>
      <c r="N182" s="99">
        <f t="shared" si="141"/>
        <v>0</v>
      </c>
      <c r="O182" s="99">
        <f t="shared" si="141"/>
        <v>0</v>
      </c>
      <c r="P182" s="99">
        <f t="shared" si="141"/>
        <v>0</v>
      </c>
      <c r="Q182" s="99">
        <f t="shared" si="141"/>
        <v>0</v>
      </c>
      <c r="S182" s="40"/>
      <c r="AL182" s="40"/>
      <c r="AT182" s="40"/>
    </row>
    <row r="183" spans="1:46">
      <c r="A183" s="40"/>
      <c r="B183" s="99">
        <f t="shared" si="133"/>
        <v>0</v>
      </c>
      <c r="C183" s="99">
        <f t="shared" ref="C183:Q183" si="142">+C96-C12</f>
        <v>0</v>
      </c>
      <c r="D183" s="99">
        <f t="shared" si="142"/>
        <v>0</v>
      </c>
      <c r="E183" s="99">
        <f t="shared" si="142"/>
        <v>0</v>
      </c>
      <c r="F183" s="99">
        <f t="shared" si="142"/>
        <v>0</v>
      </c>
      <c r="G183" s="99">
        <f t="shared" si="142"/>
        <v>0</v>
      </c>
      <c r="H183" s="99">
        <f t="shared" si="142"/>
        <v>0</v>
      </c>
      <c r="I183" s="99">
        <f t="shared" si="142"/>
        <v>0</v>
      </c>
      <c r="J183" s="99">
        <f t="shared" si="142"/>
        <v>0</v>
      </c>
      <c r="K183" s="99">
        <f t="shared" si="142"/>
        <v>0</v>
      </c>
      <c r="L183" s="99">
        <f t="shared" si="142"/>
        <v>0</v>
      </c>
      <c r="M183" s="99">
        <f t="shared" si="142"/>
        <v>0</v>
      </c>
      <c r="N183" s="99">
        <f t="shared" si="142"/>
        <v>0</v>
      </c>
      <c r="O183" s="99">
        <f t="shared" si="142"/>
        <v>0</v>
      </c>
      <c r="P183" s="99">
        <f t="shared" si="142"/>
        <v>0</v>
      </c>
      <c r="Q183" s="99">
        <f t="shared" si="142"/>
        <v>0</v>
      </c>
      <c r="S183" s="40"/>
      <c r="AL183" s="40"/>
      <c r="AT183" s="40"/>
    </row>
    <row r="184" spans="1:46">
      <c r="A184" s="40"/>
      <c r="B184" s="99">
        <f t="shared" si="133"/>
        <v>0</v>
      </c>
      <c r="C184" s="99">
        <f t="shared" ref="C184:Q184" si="143">+C97-C13</f>
        <v>0</v>
      </c>
      <c r="D184" s="99">
        <f t="shared" si="143"/>
        <v>0</v>
      </c>
      <c r="E184" s="99">
        <f t="shared" si="143"/>
        <v>0</v>
      </c>
      <c r="F184" s="99">
        <f t="shared" si="143"/>
        <v>0</v>
      </c>
      <c r="G184" s="99">
        <f t="shared" si="143"/>
        <v>0</v>
      </c>
      <c r="H184" s="99">
        <f t="shared" si="143"/>
        <v>0</v>
      </c>
      <c r="I184" s="99">
        <f t="shared" si="143"/>
        <v>0</v>
      </c>
      <c r="J184" s="99">
        <f t="shared" si="143"/>
        <v>0</v>
      </c>
      <c r="K184" s="99">
        <f t="shared" si="143"/>
        <v>0</v>
      </c>
      <c r="L184" s="99">
        <f t="shared" si="143"/>
        <v>0</v>
      </c>
      <c r="M184" s="99">
        <f t="shared" si="143"/>
        <v>0</v>
      </c>
      <c r="N184" s="99">
        <f t="shared" si="143"/>
        <v>0</v>
      </c>
      <c r="O184" s="99">
        <f t="shared" si="143"/>
        <v>0</v>
      </c>
      <c r="P184" s="99">
        <f t="shared" si="143"/>
        <v>0</v>
      </c>
      <c r="Q184" s="99">
        <f t="shared" si="143"/>
        <v>0</v>
      </c>
      <c r="S184" s="40"/>
      <c r="AL184" s="40"/>
      <c r="AT184" s="40"/>
    </row>
    <row r="185" spans="1:46">
      <c r="A185" s="40"/>
      <c r="B185" s="99">
        <f t="shared" si="133"/>
        <v>0</v>
      </c>
      <c r="C185" s="99">
        <f t="shared" ref="C185:Q185" si="144">+C98-C14</f>
        <v>0</v>
      </c>
      <c r="D185" s="99">
        <f t="shared" si="144"/>
        <v>0</v>
      </c>
      <c r="E185" s="99">
        <f t="shared" si="144"/>
        <v>0</v>
      </c>
      <c r="F185" s="99">
        <f t="shared" si="144"/>
        <v>0</v>
      </c>
      <c r="G185" s="99">
        <f t="shared" si="144"/>
        <v>0</v>
      </c>
      <c r="H185" s="99">
        <f t="shared" si="144"/>
        <v>0</v>
      </c>
      <c r="I185" s="99">
        <f t="shared" si="144"/>
        <v>0</v>
      </c>
      <c r="J185" s="99">
        <f t="shared" si="144"/>
        <v>0</v>
      </c>
      <c r="K185" s="99">
        <f t="shared" si="144"/>
        <v>0</v>
      </c>
      <c r="L185" s="99">
        <f t="shared" si="144"/>
        <v>0</v>
      </c>
      <c r="M185" s="99">
        <f t="shared" si="144"/>
        <v>0</v>
      </c>
      <c r="N185" s="99">
        <f t="shared" si="144"/>
        <v>0</v>
      </c>
      <c r="O185" s="99">
        <f t="shared" si="144"/>
        <v>0</v>
      </c>
      <c r="P185" s="99">
        <f t="shared" si="144"/>
        <v>0</v>
      </c>
      <c r="Q185" s="99">
        <f t="shared" si="144"/>
        <v>0</v>
      </c>
      <c r="S185" s="40"/>
      <c r="AL185" s="40"/>
      <c r="AT185" s="40"/>
    </row>
    <row r="186" spans="1:46">
      <c r="A186" s="40"/>
      <c r="B186" s="99">
        <f t="shared" si="133"/>
        <v>0</v>
      </c>
      <c r="C186" s="99">
        <f t="shared" ref="C186:Q186" si="145">+C99-C15</f>
        <v>0</v>
      </c>
      <c r="D186" s="99">
        <f t="shared" si="145"/>
        <v>0</v>
      </c>
      <c r="E186" s="99">
        <f t="shared" si="145"/>
        <v>0</v>
      </c>
      <c r="F186" s="99">
        <f t="shared" si="145"/>
        <v>0</v>
      </c>
      <c r="G186" s="99">
        <f t="shared" si="145"/>
        <v>0</v>
      </c>
      <c r="H186" s="99">
        <f t="shared" si="145"/>
        <v>0</v>
      </c>
      <c r="I186" s="99">
        <f t="shared" si="145"/>
        <v>0</v>
      </c>
      <c r="J186" s="99">
        <f t="shared" si="145"/>
        <v>0</v>
      </c>
      <c r="K186" s="99">
        <f t="shared" si="145"/>
        <v>0</v>
      </c>
      <c r="L186" s="99">
        <f t="shared" si="145"/>
        <v>0</v>
      </c>
      <c r="M186" s="99">
        <f t="shared" si="145"/>
        <v>0</v>
      </c>
      <c r="N186" s="99">
        <f t="shared" si="145"/>
        <v>0</v>
      </c>
      <c r="O186" s="99">
        <f t="shared" si="145"/>
        <v>0</v>
      </c>
      <c r="P186" s="99">
        <f t="shared" si="145"/>
        <v>0</v>
      </c>
      <c r="Q186" s="99">
        <f t="shared" si="145"/>
        <v>0</v>
      </c>
      <c r="S186" s="40"/>
      <c r="AL186" s="40"/>
      <c r="AT186" s="40"/>
    </row>
    <row r="187" spans="1:46">
      <c r="A187" s="40"/>
      <c r="B187" s="99">
        <f t="shared" si="133"/>
        <v>0</v>
      </c>
      <c r="C187" s="99">
        <f t="shared" ref="C187:Q187" si="146">+C100-C16</f>
        <v>0</v>
      </c>
      <c r="D187" s="99">
        <f t="shared" si="146"/>
        <v>0</v>
      </c>
      <c r="E187" s="99">
        <f t="shared" si="146"/>
        <v>0</v>
      </c>
      <c r="F187" s="99">
        <f t="shared" si="146"/>
        <v>0</v>
      </c>
      <c r="G187" s="99">
        <f t="shared" si="146"/>
        <v>0</v>
      </c>
      <c r="H187" s="99">
        <f t="shared" si="146"/>
        <v>0</v>
      </c>
      <c r="I187" s="99">
        <f t="shared" si="146"/>
        <v>0</v>
      </c>
      <c r="J187" s="99">
        <f t="shared" si="146"/>
        <v>0</v>
      </c>
      <c r="K187" s="99">
        <f t="shared" si="146"/>
        <v>0</v>
      </c>
      <c r="L187" s="99">
        <f t="shared" si="146"/>
        <v>0</v>
      </c>
      <c r="M187" s="99">
        <f t="shared" si="146"/>
        <v>0</v>
      </c>
      <c r="N187" s="99">
        <f t="shared" si="146"/>
        <v>0</v>
      </c>
      <c r="O187" s="99">
        <f t="shared" si="146"/>
        <v>0</v>
      </c>
      <c r="P187" s="99">
        <f t="shared" si="146"/>
        <v>0</v>
      </c>
      <c r="Q187" s="99">
        <f t="shared" si="146"/>
        <v>0</v>
      </c>
      <c r="S187" s="40"/>
      <c r="AL187" s="40"/>
      <c r="AT187" s="40"/>
    </row>
    <row r="188" spans="1:46">
      <c r="A188" s="40"/>
      <c r="B188" s="99">
        <f t="shared" si="133"/>
        <v>0</v>
      </c>
      <c r="C188" s="99">
        <f t="shared" ref="C188:M188" si="147">+C101-C17</f>
        <v>0</v>
      </c>
      <c r="D188" s="99">
        <f t="shared" si="147"/>
        <v>0</v>
      </c>
      <c r="E188" s="99">
        <f t="shared" si="147"/>
        <v>0</v>
      </c>
      <c r="F188" s="99">
        <f t="shared" si="147"/>
        <v>0</v>
      </c>
      <c r="G188" s="99">
        <f t="shared" si="147"/>
        <v>0</v>
      </c>
      <c r="H188" s="99">
        <f t="shared" si="147"/>
        <v>0</v>
      </c>
      <c r="I188" s="99">
        <f t="shared" si="147"/>
        <v>0</v>
      </c>
      <c r="J188" s="99">
        <f t="shared" si="147"/>
        <v>0</v>
      </c>
      <c r="K188" s="99">
        <f t="shared" si="147"/>
        <v>0</v>
      </c>
      <c r="L188" s="99">
        <f t="shared" si="147"/>
        <v>0</v>
      </c>
      <c r="M188" s="99">
        <f t="shared" si="147"/>
        <v>0</v>
      </c>
      <c r="N188" s="99">
        <f t="shared" ref="C188:Q203" si="148">+N101-N17</f>
        <v>0</v>
      </c>
      <c r="O188" s="99">
        <f t="shared" si="148"/>
        <v>0</v>
      </c>
      <c r="P188" s="99">
        <f t="shared" si="148"/>
        <v>0</v>
      </c>
      <c r="Q188" s="99">
        <f t="shared" si="148"/>
        <v>0</v>
      </c>
      <c r="S188" s="40"/>
      <c r="AL188" s="40"/>
      <c r="AT188" s="40"/>
    </row>
    <row r="189" spans="1:46">
      <c r="A189" s="40"/>
      <c r="B189" s="99">
        <f t="shared" si="133"/>
        <v>0</v>
      </c>
      <c r="C189" s="99">
        <f t="shared" si="148"/>
        <v>0</v>
      </c>
      <c r="D189" s="99">
        <f t="shared" si="148"/>
        <v>0</v>
      </c>
      <c r="E189" s="99">
        <f t="shared" si="148"/>
        <v>0</v>
      </c>
      <c r="F189" s="99">
        <f t="shared" si="148"/>
        <v>0</v>
      </c>
      <c r="G189" s="99">
        <f t="shared" si="148"/>
        <v>0</v>
      </c>
      <c r="H189" s="99">
        <f t="shared" si="148"/>
        <v>0</v>
      </c>
      <c r="I189" s="99">
        <f t="shared" si="148"/>
        <v>0</v>
      </c>
      <c r="J189" s="99">
        <f t="shared" si="148"/>
        <v>0</v>
      </c>
      <c r="K189" s="99">
        <f t="shared" si="148"/>
        <v>0</v>
      </c>
      <c r="L189" s="99">
        <f t="shared" si="148"/>
        <v>0</v>
      </c>
      <c r="M189" s="99">
        <f t="shared" si="148"/>
        <v>0</v>
      </c>
      <c r="N189" s="99">
        <f t="shared" si="148"/>
        <v>0</v>
      </c>
      <c r="O189" s="99">
        <f t="shared" si="148"/>
        <v>0</v>
      </c>
      <c r="P189" s="99">
        <f t="shared" si="148"/>
        <v>0</v>
      </c>
      <c r="Q189" s="99">
        <f t="shared" si="148"/>
        <v>0</v>
      </c>
      <c r="S189" s="40"/>
      <c r="AL189" s="40"/>
      <c r="AT189" s="40"/>
    </row>
    <row r="190" spans="1:46">
      <c r="A190" s="40"/>
      <c r="B190" s="99">
        <f t="shared" si="133"/>
        <v>0</v>
      </c>
      <c r="C190" s="99">
        <f t="shared" si="148"/>
        <v>0</v>
      </c>
      <c r="D190" s="99">
        <f t="shared" si="148"/>
        <v>0</v>
      </c>
      <c r="E190" s="99">
        <f t="shared" si="148"/>
        <v>0</v>
      </c>
      <c r="F190" s="99">
        <f t="shared" si="148"/>
        <v>0</v>
      </c>
      <c r="G190" s="99">
        <f t="shared" si="148"/>
        <v>0</v>
      </c>
      <c r="H190" s="99">
        <f t="shared" si="148"/>
        <v>0</v>
      </c>
      <c r="I190" s="99">
        <f t="shared" si="148"/>
        <v>0</v>
      </c>
      <c r="J190" s="99">
        <f t="shared" si="148"/>
        <v>0</v>
      </c>
      <c r="K190" s="99">
        <f t="shared" si="148"/>
        <v>0</v>
      </c>
      <c r="L190" s="99">
        <f t="shared" si="148"/>
        <v>0</v>
      </c>
      <c r="M190" s="99">
        <f t="shared" si="148"/>
        <v>0</v>
      </c>
      <c r="N190" s="99">
        <f t="shared" si="148"/>
        <v>0</v>
      </c>
      <c r="O190" s="99">
        <f t="shared" si="148"/>
        <v>0</v>
      </c>
      <c r="P190" s="99">
        <f t="shared" si="148"/>
        <v>0</v>
      </c>
      <c r="Q190" s="99">
        <f t="shared" si="148"/>
        <v>0</v>
      </c>
      <c r="S190" s="40"/>
      <c r="AL190" s="40"/>
      <c r="AT190" s="40"/>
    </row>
    <row r="191" spans="1:46">
      <c r="A191" s="40"/>
      <c r="B191" s="99">
        <f t="shared" si="133"/>
        <v>0</v>
      </c>
      <c r="C191" s="99">
        <f t="shared" si="148"/>
        <v>0</v>
      </c>
      <c r="D191" s="99">
        <f t="shared" si="148"/>
        <v>0</v>
      </c>
      <c r="E191" s="99">
        <f t="shared" si="148"/>
        <v>0</v>
      </c>
      <c r="F191" s="99">
        <f t="shared" si="148"/>
        <v>0</v>
      </c>
      <c r="G191" s="99">
        <f t="shared" si="148"/>
        <v>0</v>
      </c>
      <c r="H191" s="99">
        <f t="shared" si="148"/>
        <v>0</v>
      </c>
      <c r="I191" s="99">
        <f t="shared" si="148"/>
        <v>0</v>
      </c>
      <c r="J191" s="99">
        <f t="shared" si="148"/>
        <v>0</v>
      </c>
      <c r="K191" s="99">
        <f t="shared" si="148"/>
        <v>0</v>
      </c>
      <c r="L191" s="99">
        <f t="shared" si="148"/>
        <v>0</v>
      </c>
      <c r="M191" s="99">
        <f t="shared" si="148"/>
        <v>0</v>
      </c>
      <c r="N191" s="99">
        <f t="shared" si="148"/>
        <v>0</v>
      </c>
      <c r="O191" s="99">
        <f t="shared" si="148"/>
        <v>0</v>
      </c>
      <c r="P191" s="99">
        <f t="shared" si="148"/>
        <v>0</v>
      </c>
      <c r="Q191" s="99">
        <f t="shared" si="148"/>
        <v>0</v>
      </c>
      <c r="S191" s="40"/>
      <c r="AL191" s="40"/>
      <c r="AT191" s="40"/>
    </row>
    <row r="192" spans="1:46">
      <c r="A192" s="40"/>
      <c r="B192" s="99">
        <f t="shared" si="133"/>
        <v>0</v>
      </c>
      <c r="C192" s="99">
        <f t="shared" si="148"/>
        <v>0</v>
      </c>
      <c r="D192" s="99">
        <f t="shared" si="148"/>
        <v>0</v>
      </c>
      <c r="E192" s="99">
        <f t="shared" si="148"/>
        <v>0</v>
      </c>
      <c r="F192" s="99">
        <f t="shared" si="148"/>
        <v>0</v>
      </c>
      <c r="G192" s="99">
        <f t="shared" si="148"/>
        <v>0</v>
      </c>
      <c r="H192" s="99">
        <f t="shared" si="148"/>
        <v>0</v>
      </c>
      <c r="I192" s="99">
        <f t="shared" si="148"/>
        <v>0</v>
      </c>
      <c r="J192" s="99">
        <f t="shared" si="148"/>
        <v>0</v>
      </c>
      <c r="K192" s="99">
        <f t="shared" si="148"/>
        <v>0</v>
      </c>
      <c r="L192" s="99">
        <f t="shared" si="148"/>
        <v>0</v>
      </c>
      <c r="M192" s="99">
        <f t="shared" si="148"/>
        <v>0</v>
      </c>
      <c r="N192" s="99">
        <f t="shared" si="148"/>
        <v>0</v>
      </c>
      <c r="O192" s="99">
        <f t="shared" si="148"/>
        <v>0</v>
      </c>
      <c r="P192" s="99">
        <f t="shared" si="148"/>
        <v>0</v>
      </c>
      <c r="Q192" s="99">
        <f t="shared" si="148"/>
        <v>0</v>
      </c>
      <c r="S192" s="40"/>
      <c r="AL192" s="40"/>
      <c r="AT192" s="40"/>
    </row>
    <row r="193" spans="1:46">
      <c r="A193" s="40"/>
      <c r="B193" s="99">
        <f t="shared" si="133"/>
        <v>0</v>
      </c>
      <c r="C193" s="99">
        <f t="shared" si="148"/>
        <v>0</v>
      </c>
      <c r="D193" s="99">
        <f t="shared" si="148"/>
        <v>0</v>
      </c>
      <c r="E193" s="99">
        <f t="shared" si="148"/>
        <v>0</v>
      </c>
      <c r="F193" s="99">
        <f t="shared" si="148"/>
        <v>0</v>
      </c>
      <c r="G193" s="99">
        <f t="shared" si="148"/>
        <v>0</v>
      </c>
      <c r="H193" s="99">
        <f t="shared" si="148"/>
        <v>0</v>
      </c>
      <c r="I193" s="99">
        <f t="shared" si="148"/>
        <v>0</v>
      </c>
      <c r="J193" s="99">
        <f t="shared" si="148"/>
        <v>0</v>
      </c>
      <c r="K193" s="99">
        <f t="shared" si="148"/>
        <v>0</v>
      </c>
      <c r="L193" s="99">
        <f t="shared" si="148"/>
        <v>0</v>
      </c>
      <c r="M193" s="99">
        <f t="shared" si="148"/>
        <v>0</v>
      </c>
      <c r="N193" s="99">
        <f t="shared" si="148"/>
        <v>0</v>
      </c>
      <c r="O193" s="99">
        <f t="shared" si="148"/>
        <v>0</v>
      </c>
      <c r="P193" s="99">
        <f t="shared" si="148"/>
        <v>0</v>
      </c>
      <c r="Q193" s="99">
        <f t="shared" si="148"/>
        <v>0</v>
      </c>
      <c r="S193" s="40"/>
      <c r="AL193" s="40"/>
      <c r="AT193" s="40"/>
    </row>
    <row r="194" spans="1:46">
      <c r="A194" s="40"/>
      <c r="B194" s="99">
        <f t="shared" si="133"/>
        <v>0</v>
      </c>
      <c r="C194" s="99">
        <f t="shared" si="148"/>
        <v>0</v>
      </c>
      <c r="D194" s="99">
        <f t="shared" si="148"/>
        <v>0</v>
      </c>
      <c r="E194" s="99">
        <f t="shared" si="148"/>
        <v>0</v>
      </c>
      <c r="F194" s="99">
        <f t="shared" si="148"/>
        <v>0</v>
      </c>
      <c r="G194" s="99">
        <f t="shared" si="148"/>
        <v>0</v>
      </c>
      <c r="H194" s="99">
        <f t="shared" si="148"/>
        <v>0</v>
      </c>
      <c r="I194" s="99">
        <f t="shared" si="148"/>
        <v>0</v>
      </c>
      <c r="J194" s="99">
        <f t="shared" si="148"/>
        <v>0</v>
      </c>
      <c r="K194" s="99">
        <f t="shared" si="148"/>
        <v>0</v>
      </c>
      <c r="L194" s="99">
        <f t="shared" si="148"/>
        <v>0</v>
      </c>
      <c r="M194" s="99">
        <f t="shared" si="148"/>
        <v>0</v>
      </c>
      <c r="N194" s="99">
        <f t="shared" si="148"/>
        <v>0</v>
      </c>
      <c r="O194" s="99">
        <f t="shared" si="148"/>
        <v>0</v>
      </c>
      <c r="P194" s="99">
        <f t="shared" si="148"/>
        <v>0</v>
      </c>
      <c r="Q194" s="99">
        <f t="shared" si="148"/>
        <v>0</v>
      </c>
      <c r="S194" s="40"/>
      <c r="AL194" s="40"/>
      <c r="AT194" s="40"/>
    </row>
    <row r="195" spans="1:46">
      <c r="A195" s="40"/>
      <c r="B195" s="99">
        <f t="shared" si="133"/>
        <v>0</v>
      </c>
      <c r="C195" s="99">
        <f t="shared" si="148"/>
        <v>0</v>
      </c>
      <c r="D195" s="99">
        <f t="shared" si="148"/>
        <v>0</v>
      </c>
      <c r="E195" s="99">
        <f t="shared" si="148"/>
        <v>0</v>
      </c>
      <c r="F195" s="99">
        <f t="shared" si="148"/>
        <v>0</v>
      </c>
      <c r="G195" s="99">
        <f t="shared" si="148"/>
        <v>0</v>
      </c>
      <c r="H195" s="99">
        <f t="shared" si="148"/>
        <v>0</v>
      </c>
      <c r="I195" s="99">
        <f t="shared" si="148"/>
        <v>0</v>
      </c>
      <c r="J195" s="99">
        <f t="shared" si="148"/>
        <v>0</v>
      </c>
      <c r="K195" s="99">
        <f t="shared" si="148"/>
        <v>0</v>
      </c>
      <c r="L195" s="99">
        <f t="shared" si="148"/>
        <v>0</v>
      </c>
      <c r="M195" s="99">
        <f t="shared" si="148"/>
        <v>0</v>
      </c>
      <c r="N195" s="99">
        <f t="shared" si="148"/>
        <v>0</v>
      </c>
      <c r="O195" s="99">
        <f t="shared" si="148"/>
        <v>0</v>
      </c>
      <c r="P195" s="99">
        <f t="shared" si="148"/>
        <v>0</v>
      </c>
      <c r="Q195" s="99">
        <f t="shared" si="148"/>
        <v>0</v>
      </c>
      <c r="S195" s="40"/>
      <c r="AL195" s="40"/>
      <c r="AT195" s="40"/>
    </row>
    <row r="196" spans="1:46">
      <c r="A196" s="40"/>
      <c r="B196" s="99">
        <f t="shared" si="133"/>
        <v>0</v>
      </c>
      <c r="C196" s="99">
        <f t="shared" si="148"/>
        <v>0</v>
      </c>
      <c r="D196" s="99">
        <f t="shared" si="148"/>
        <v>0</v>
      </c>
      <c r="E196" s="99">
        <f t="shared" si="148"/>
        <v>0</v>
      </c>
      <c r="F196" s="99">
        <f t="shared" si="148"/>
        <v>0</v>
      </c>
      <c r="G196" s="99">
        <f t="shared" si="148"/>
        <v>0</v>
      </c>
      <c r="H196" s="99">
        <f t="shared" si="148"/>
        <v>0</v>
      </c>
      <c r="I196" s="99">
        <f t="shared" si="148"/>
        <v>0</v>
      </c>
      <c r="J196" s="99">
        <f t="shared" si="148"/>
        <v>0</v>
      </c>
      <c r="K196" s="99">
        <f t="shared" si="148"/>
        <v>0</v>
      </c>
      <c r="L196" s="99">
        <f t="shared" si="148"/>
        <v>0</v>
      </c>
      <c r="M196" s="99">
        <f t="shared" si="148"/>
        <v>0</v>
      </c>
      <c r="N196" s="99">
        <f t="shared" si="148"/>
        <v>0</v>
      </c>
      <c r="O196" s="99">
        <f t="shared" si="148"/>
        <v>0</v>
      </c>
      <c r="P196" s="99">
        <f t="shared" si="148"/>
        <v>0</v>
      </c>
      <c r="Q196" s="99">
        <f t="shared" si="148"/>
        <v>0</v>
      </c>
      <c r="S196" s="40"/>
      <c r="AL196" s="40"/>
      <c r="AT196" s="40"/>
    </row>
    <row r="197" spans="1:46">
      <c r="A197" s="40"/>
      <c r="B197" s="99">
        <f t="shared" si="133"/>
        <v>0</v>
      </c>
      <c r="C197" s="99">
        <f t="shared" si="148"/>
        <v>0</v>
      </c>
      <c r="D197" s="99">
        <f t="shared" si="148"/>
        <v>0</v>
      </c>
      <c r="E197" s="99">
        <f t="shared" si="148"/>
        <v>0</v>
      </c>
      <c r="F197" s="99">
        <f t="shared" si="148"/>
        <v>0</v>
      </c>
      <c r="G197" s="99">
        <f t="shared" si="148"/>
        <v>0</v>
      </c>
      <c r="H197" s="99">
        <f t="shared" si="148"/>
        <v>0</v>
      </c>
      <c r="I197" s="99">
        <f t="shared" si="148"/>
        <v>0</v>
      </c>
      <c r="J197" s="99">
        <f t="shared" si="148"/>
        <v>0</v>
      </c>
      <c r="K197" s="99">
        <f t="shared" si="148"/>
        <v>0</v>
      </c>
      <c r="L197" s="99">
        <f t="shared" si="148"/>
        <v>0</v>
      </c>
      <c r="M197" s="99">
        <f t="shared" si="148"/>
        <v>0</v>
      </c>
      <c r="N197" s="99">
        <f t="shared" si="148"/>
        <v>0</v>
      </c>
      <c r="O197" s="99">
        <f t="shared" si="148"/>
        <v>0</v>
      </c>
      <c r="P197" s="99">
        <f t="shared" si="148"/>
        <v>0</v>
      </c>
      <c r="Q197" s="99">
        <f t="shared" si="148"/>
        <v>0</v>
      </c>
      <c r="S197" s="40"/>
      <c r="AL197" s="40"/>
      <c r="AT197" s="40"/>
    </row>
    <row r="198" spans="1:46">
      <c r="A198" s="40"/>
      <c r="B198" s="99">
        <f t="shared" si="133"/>
        <v>0</v>
      </c>
      <c r="C198" s="99">
        <f t="shared" si="148"/>
        <v>0</v>
      </c>
      <c r="D198" s="99">
        <f t="shared" si="148"/>
        <v>0</v>
      </c>
      <c r="E198" s="99">
        <f t="shared" si="148"/>
        <v>0</v>
      </c>
      <c r="F198" s="99">
        <f t="shared" si="148"/>
        <v>0</v>
      </c>
      <c r="G198" s="99">
        <f t="shared" si="148"/>
        <v>0</v>
      </c>
      <c r="H198" s="99">
        <f t="shared" si="148"/>
        <v>0</v>
      </c>
      <c r="I198" s="99">
        <f t="shared" si="148"/>
        <v>0</v>
      </c>
      <c r="J198" s="99">
        <f t="shared" si="148"/>
        <v>0</v>
      </c>
      <c r="K198" s="99">
        <f t="shared" si="148"/>
        <v>0</v>
      </c>
      <c r="L198" s="99">
        <f t="shared" si="148"/>
        <v>0</v>
      </c>
      <c r="M198" s="99">
        <f t="shared" si="148"/>
        <v>0</v>
      </c>
      <c r="N198" s="99">
        <f t="shared" si="148"/>
        <v>0</v>
      </c>
      <c r="O198" s="99">
        <f t="shared" si="148"/>
        <v>0</v>
      </c>
      <c r="P198" s="99">
        <f t="shared" si="148"/>
        <v>0</v>
      </c>
      <c r="Q198" s="99">
        <f t="shared" si="148"/>
        <v>0</v>
      </c>
      <c r="S198" s="40"/>
      <c r="AL198" s="40"/>
      <c r="AT198" s="40"/>
    </row>
    <row r="199" spans="1:46">
      <c r="A199" s="40"/>
      <c r="B199" s="99">
        <f t="shared" si="133"/>
        <v>0</v>
      </c>
      <c r="C199" s="99">
        <f t="shared" si="148"/>
        <v>0</v>
      </c>
      <c r="D199" s="99">
        <f t="shared" si="148"/>
        <v>0</v>
      </c>
      <c r="E199" s="99">
        <f t="shared" si="148"/>
        <v>0</v>
      </c>
      <c r="F199" s="99">
        <f t="shared" si="148"/>
        <v>0</v>
      </c>
      <c r="G199" s="99">
        <f t="shared" si="148"/>
        <v>0</v>
      </c>
      <c r="H199" s="99">
        <f t="shared" si="148"/>
        <v>0</v>
      </c>
      <c r="I199" s="99">
        <f t="shared" si="148"/>
        <v>0</v>
      </c>
      <c r="J199" s="99">
        <f t="shared" si="148"/>
        <v>0</v>
      </c>
      <c r="K199" s="99">
        <f t="shared" si="148"/>
        <v>0</v>
      </c>
      <c r="L199" s="99">
        <f t="shared" si="148"/>
        <v>0</v>
      </c>
      <c r="M199" s="99">
        <f t="shared" si="148"/>
        <v>0</v>
      </c>
      <c r="N199" s="99">
        <f t="shared" si="148"/>
        <v>0</v>
      </c>
      <c r="O199" s="99">
        <f t="shared" si="148"/>
        <v>0</v>
      </c>
      <c r="P199" s="99">
        <f t="shared" si="148"/>
        <v>0</v>
      </c>
      <c r="Q199" s="99">
        <f t="shared" si="148"/>
        <v>0</v>
      </c>
      <c r="S199" s="40"/>
      <c r="AL199" s="40"/>
      <c r="AT199" s="40"/>
    </row>
    <row r="200" spans="1:46">
      <c r="A200" s="40"/>
      <c r="B200" s="99">
        <f t="shared" si="133"/>
        <v>0</v>
      </c>
      <c r="C200" s="99">
        <f t="shared" si="148"/>
        <v>0</v>
      </c>
      <c r="D200" s="99">
        <f t="shared" si="148"/>
        <v>0</v>
      </c>
      <c r="E200" s="99">
        <f t="shared" si="148"/>
        <v>0</v>
      </c>
      <c r="F200" s="99">
        <f t="shared" si="148"/>
        <v>0</v>
      </c>
      <c r="G200" s="99">
        <f t="shared" si="148"/>
        <v>0</v>
      </c>
      <c r="H200" s="99">
        <f t="shared" si="148"/>
        <v>0</v>
      </c>
      <c r="I200" s="99">
        <f t="shared" si="148"/>
        <v>0</v>
      </c>
      <c r="J200" s="99">
        <f t="shared" si="148"/>
        <v>0</v>
      </c>
      <c r="K200" s="99">
        <f t="shared" si="148"/>
        <v>0</v>
      </c>
      <c r="L200" s="99">
        <f t="shared" si="148"/>
        <v>0</v>
      </c>
      <c r="M200" s="99">
        <f t="shared" si="148"/>
        <v>0</v>
      </c>
      <c r="N200" s="99">
        <f t="shared" si="148"/>
        <v>0</v>
      </c>
      <c r="O200" s="99">
        <f t="shared" si="148"/>
        <v>0</v>
      </c>
      <c r="P200" s="99">
        <f t="shared" si="148"/>
        <v>0</v>
      </c>
      <c r="Q200" s="99">
        <f t="shared" si="148"/>
        <v>0</v>
      </c>
      <c r="S200" s="40"/>
      <c r="AL200" s="40"/>
      <c r="AT200" s="40"/>
    </row>
    <row r="201" spans="1:46">
      <c r="A201" s="40"/>
      <c r="B201" s="99">
        <f t="shared" si="133"/>
        <v>0</v>
      </c>
      <c r="C201" s="99">
        <f t="shared" si="148"/>
        <v>0</v>
      </c>
      <c r="D201" s="99">
        <f t="shared" si="148"/>
        <v>0</v>
      </c>
      <c r="E201" s="99">
        <f t="shared" si="148"/>
        <v>0</v>
      </c>
      <c r="F201" s="99">
        <f t="shared" si="148"/>
        <v>0</v>
      </c>
      <c r="G201" s="99">
        <f t="shared" si="148"/>
        <v>0</v>
      </c>
      <c r="H201" s="99">
        <f t="shared" si="148"/>
        <v>0</v>
      </c>
      <c r="I201" s="99">
        <f t="shared" si="148"/>
        <v>0</v>
      </c>
      <c r="J201" s="99">
        <f t="shared" si="148"/>
        <v>0</v>
      </c>
      <c r="K201" s="99">
        <f t="shared" si="148"/>
        <v>0</v>
      </c>
      <c r="L201" s="99">
        <f t="shared" si="148"/>
        <v>0</v>
      </c>
      <c r="M201" s="99">
        <f t="shared" si="148"/>
        <v>0</v>
      </c>
      <c r="N201" s="99">
        <f t="shared" si="148"/>
        <v>0</v>
      </c>
      <c r="O201" s="99">
        <f t="shared" si="148"/>
        <v>0</v>
      </c>
      <c r="P201" s="99">
        <f t="shared" si="148"/>
        <v>0</v>
      </c>
      <c r="Q201" s="99">
        <f t="shared" si="148"/>
        <v>0</v>
      </c>
      <c r="S201" s="40"/>
      <c r="AL201" s="40"/>
      <c r="AT201" s="40"/>
    </row>
    <row r="202" spans="1:46">
      <c r="A202" s="40"/>
      <c r="B202" s="99">
        <f t="shared" si="133"/>
        <v>0</v>
      </c>
      <c r="C202" s="99">
        <f t="shared" si="148"/>
        <v>0</v>
      </c>
      <c r="D202" s="99">
        <f t="shared" si="148"/>
        <v>0</v>
      </c>
      <c r="E202" s="99">
        <f t="shared" si="148"/>
        <v>0</v>
      </c>
      <c r="F202" s="99">
        <f t="shared" si="148"/>
        <v>0</v>
      </c>
      <c r="G202" s="99">
        <f t="shared" si="148"/>
        <v>0</v>
      </c>
      <c r="H202" s="99">
        <f t="shared" si="148"/>
        <v>0</v>
      </c>
      <c r="I202" s="99">
        <f t="shared" si="148"/>
        <v>0</v>
      </c>
      <c r="J202" s="99">
        <f t="shared" si="148"/>
        <v>0</v>
      </c>
      <c r="K202" s="99">
        <f t="shared" si="148"/>
        <v>0</v>
      </c>
      <c r="L202" s="99">
        <f t="shared" si="148"/>
        <v>0</v>
      </c>
      <c r="M202" s="99">
        <f t="shared" si="148"/>
        <v>0</v>
      </c>
      <c r="N202" s="99">
        <f t="shared" si="148"/>
        <v>0</v>
      </c>
      <c r="O202" s="99">
        <f t="shared" si="148"/>
        <v>0</v>
      </c>
      <c r="P202" s="99">
        <f t="shared" si="148"/>
        <v>0</v>
      </c>
      <c r="Q202" s="99">
        <f t="shared" si="148"/>
        <v>0</v>
      </c>
      <c r="S202" s="40"/>
      <c r="AL202" s="40"/>
      <c r="AT202" s="40"/>
    </row>
    <row r="203" spans="1:46">
      <c r="A203" s="40"/>
      <c r="B203" s="99">
        <f t="shared" si="133"/>
        <v>0</v>
      </c>
      <c r="C203" s="99">
        <f t="shared" si="148"/>
        <v>0</v>
      </c>
      <c r="D203" s="99">
        <f t="shared" si="148"/>
        <v>0</v>
      </c>
      <c r="E203" s="99">
        <f t="shared" si="148"/>
        <v>0</v>
      </c>
      <c r="F203" s="99">
        <f t="shared" si="148"/>
        <v>0</v>
      </c>
      <c r="G203" s="99">
        <f t="shared" si="148"/>
        <v>0</v>
      </c>
      <c r="H203" s="99">
        <f t="shared" si="148"/>
        <v>0</v>
      </c>
      <c r="I203" s="99">
        <f t="shared" si="148"/>
        <v>0</v>
      </c>
      <c r="J203" s="99">
        <f t="shared" si="148"/>
        <v>0</v>
      </c>
      <c r="K203" s="99">
        <f t="shared" si="148"/>
        <v>0</v>
      </c>
      <c r="L203" s="99">
        <f t="shared" si="148"/>
        <v>0</v>
      </c>
      <c r="M203" s="99">
        <f t="shared" si="148"/>
        <v>0</v>
      </c>
      <c r="N203" s="99">
        <f t="shared" si="148"/>
        <v>0</v>
      </c>
      <c r="O203" s="99">
        <f t="shared" si="148"/>
        <v>0</v>
      </c>
      <c r="P203" s="99">
        <f t="shared" si="148"/>
        <v>0</v>
      </c>
      <c r="Q203" s="99">
        <f t="shared" si="148"/>
        <v>0</v>
      </c>
      <c r="S203" s="40"/>
      <c r="AL203" s="40"/>
      <c r="AT203" s="40"/>
    </row>
    <row r="204" spans="1:46">
      <c r="A204" s="40"/>
      <c r="B204" s="99">
        <f t="shared" si="133"/>
        <v>0</v>
      </c>
      <c r="C204" s="99">
        <f t="shared" ref="C204:Q219" si="149">+C117-C33</f>
        <v>0</v>
      </c>
      <c r="D204" s="99">
        <f t="shared" si="149"/>
        <v>0</v>
      </c>
      <c r="E204" s="99">
        <f t="shared" si="149"/>
        <v>0</v>
      </c>
      <c r="F204" s="99">
        <f t="shared" si="149"/>
        <v>0</v>
      </c>
      <c r="G204" s="99">
        <f t="shared" si="149"/>
        <v>0</v>
      </c>
      <c r="H204" s="99">
        <f t="shared" si="149"/>
        <v>0</v>
      </c>
      <c r="I204" s="99">
        <f t="shared" si="149"/>
        <v>0</v>
      </c>
      <c r="J204" s="99">
        <f t="shared" si="149"/>
        <v>0</v>
      </c>
      <c r="K204" s="99">
        <f t="shared" si="149"/>
        <v>0</v>
      </c>
      <c r="L204" s="99">
        <f t="shared" si="149"/>
        <v>0</v>
      </c>
      <c r="M204" s="99">
        <f t="shared" si="149"/>
        <v>0</v>
      </c>
      <c r="N204" s="99">
        <f t="shared" si="149"/>
        <v>0</v>
      </c>
      <c r="O204" s="99">
        <f t="shared" si="149"/>
        <v>0</v>
      </c>
      <c r="P204" s="99">
        <f t="shared" si="149"/>
        <v>0</v>
      </c>
      <c r="Q204" s="99">
        <f t="shared" si="149"/>
        <v>0</v>
      </c>
      <c r="S204" s="40"/>
      <c r="AL204" s="40"/>
      <c r="AT204" s="40"/>
    </row>
    <row r="205" spans="1:46">
      <c r="A205" s="40"/>
      <c r="B205" s="99">
        <f t="shared" si="133"/>
        <v>0</v>
      </c>
      <c r="C205" s="99">
        <f t="shared" si="149"/>
        <v>0</v>
      </c>
      <c r="D205" s="99">
        <f t="shared" si="149"/>
        <v>0</v>
      </c>
      <c r="E205" s="99">
        <f t="shared" si="149"/>
        <v>0</v>
      </c>
      <c r="F205" s="99">
        <f t="shared" si="149"/>
        <v>0</v>
      </c>
      <c r="G205" s="99">
        <f t="shared" si="149"/>
        <v>0</v>
      </c>
      <c r="H205" s="99">
        <f t="shared" si="149"/>
        <v>0</v>
      </c>
      <c r="I205" s="99">
        <f t="shared" si="149"/>
        <v>0</v>
      </c>
      <c r="J205" s="99">
        <f t="shared" si="149"/>
        <v>0</v>
      </c>
      <c r="K205" s="99">
        <f t="shared" si="149"/>
        <v>0</v>
      </c>
      <c r="L205" s="99">
        <f t="shared" si="149"/>
        <v>0</v>
      </c>
      <c r="M205" s="99">
        <f t="shared" si="149"/>
        <v>0</v>
      </c>
      <c r="N205" s="99">
        <f t="shared" si="149"/>
        <v>0</v>
      </c>
      <c r="O205" s="99">
        <f t="shared" si="149"/>
        <v>0</v>
      </c>
      <c r="P205" s="99">
        <f t="shared" si="149"/>
        <v>0</v>
      </c>
      <c r="Q205" s="99">
        <f t="shared" si="149"/>
        <v>0</v>
      </c>
      <c r="S205" s="40"/>
      <c r="AL205" s="40"/>
      <c r="AT205" s="40"/>
    </row>
    <row r="206" spans="1:46">
      <c r="A206" s="40"/>
      <c r="B206" s="99">
        <f t="shared" si="133"/>
        <v>0</v>
      </c>
      <c r="C206" s="99">
        <f t="shared" si="149"/>
        <v>0</v>
      </c>
      <c r="D206" s="99">
        <f t="shared" si="149"/>
        <v>0</v>
      </c>
      <c r="E206" s="99">
        <f t="shared" si="149"/>
        <v>0</v>
      </c>
      <c r="F206" s="99">
        <f t="shared" si="149"/>
        <v>0</v>
      </c>
      <c r="G206" s="99">
        <f t="shared" si="149"/>
        <v>0</v>
      </c>
      <c r="H206" s="99">
        <f t="shared" si="149"/>
        <v>0</v>
      </c>
      <c r="I206" s="99">
        <f t="shared" si="149"/>
        <v>0</v>
      </c>
      <c r="J206" s="99">
        <f t="shared" si="149"/>
        <v>0</v>
      </c>
      <c r="K206" s="99">
        <f t="shared" si="149"/>
        <v>0</v>
      </c>
      <c r="L206" s="99">
        <f t="shared" si="149"/>
        <v>0</v>
      </c>
      <c r="M206" s="99">
        <f t="shared" si="149"/>
        <v>0</v>
      </c>
      <c r="N206" s="99">
        <f t="shared" si="149"/>
        <v>0</v>
      </c>
      <c r="O206" s="99">
        <f t="shared" si="149"/>
        <v>0</v>
      </c>
      <c r="P206" s="99">
        <f t="shared" si="149"/>
        <v>0</v>
      </c>
      <c r="Q206" s="99">
        <f t="shared" si="149"/>
        <v>0</v>
      </c>
      <c r="S206" s="40"/>
      <c r="AL206" s="40"/>
      <c r="AT206" s="40"/>
    </row>
    <row r="207" spans="1:46">
      <c r="A207" s="40"/>
      <c r="B207" s="99">
        <f t="shared" ref="B207:B238" si="150">+B120-B36</f>
        <v>0</v>
      </c>
      <c r="C207" s="99">
        <f t="shared" si="149"/>
        <v>0</v>
      </c>
      <c r="D207" s="99">
        <f t="shared" si="149"/>
        <v>0</v>
      </c>
      <c r="E207" s="99">
        <f t="shared" si="149"/>
        <v>0</v>
      </c>
      <c r="F207" s="99">
        <f t="shared" si="149"/>
        <v>0</v>
      </c>
      <c r="G207" s="99">
        <f t="shared" si="149"/>
        <v>0</v>
      </c>
      <c r="H207" s="99">
        <f t="shared" si="149"/>
        <v>0</v>
      </c>
      <c r="I207" s="99">
        <f t="shared" si="149"/>
        <v>0</v>
      </c>
      <c r="J207" s="99">
        <f t="shared" si="149"/>
        <v>0</v>
      </c>
      <c r="K207" s="99">
        <f t="shared" si="149"/>
        <v>0</v>
      </c>
      <c r="L207" s="99">
        <f t="shared" si="149"/>
        <v>0</v>
      </c>
      <c r="M207" s="99">
        <f t="shared" si="149"/>
        <v>0</v>
      </c>
      <c r="N207" s="99">
        <f t="shared" si="149"/>
        <v>0</v>
      </c>
      <c r="O207" s="99">
        <f t="shared" si="149"/>
        <v>0</v>
      </c>
      <c r="P207" s="99">
        <f t="shared" si="149"/>
        <v>0</v>
      </c>
      <c r="Q207" s="99">
        <f t="shared" si="149"/>
        <v>0</v>
      </c>
      <c r="S207" s="40"/>
      <c r="AL207" s="40"/>
      <c r="AT207" s="40"/>
    </row>
    <row r="208" spans="1:46">
      <c r="A208" s="40"/>
      <c r="B208" s="99">
        <f t="shared" si="150"/>
        <v>0</v>
      </c>
      <c r="C208" s="99">
        <f t="shared" si="149"/>
        <v>0</v>
      </c>
      <c r="D208" s="99">
        <f t="shared" si="149"/>
        <v>0</v>
      </c>
      <c r="E208" s="99">
        <f t="shared" si="149"/>
        <v>0</v>
      </c>
      <c r="F208" s="99">
        <f t="shared" si="149"/>
        <v>0</v>
      </c>
      <c r="G208" s="99">
        <f t="shared" si="149"/>
        <v>0</v>
      </c>
      <c r="H208" s="99">
        <f t="shared" si="149"/>
        <v>0</v>
      </c>
      <c r="I208" s="99">
        <f t="shared" si="149"/>
        <v>0</v>
      </c>
      <c r="J208" s="99">
        <f t="shared" si="149"/>
        <v>0</v>
      </c>
      <c r="K208" s="99">
        <f t="shared" si="149"/>
        <v>0</v>
      </c>
      <c r="L208" s="99">
        <f t="shared" si="149"/>
        <v>0</v>
      </c>
      <c r="M208" s="99">
        <f t="shared" si="149"/>
        <v>0</v>
      </c>
      <c r="N208" s="99">
        <f t="shared" si="149"/>
        <v>0</v>
      </c>
      <c r="O208" s="99">
        <f t="shared" si="149"/>
        <v>0</v>
      </c>
      <c r="P208" s="99">
        <f t="shared" si="149"/>
        <v>0</v>
      </c>
      <c r="Q208" s="99">
        <f t="shared" si="149"/>
        <v>0</v>
      </c>
      <c r="S208" s="40"/>
      <c r="AL208" s="40"/>
      <c r="AT208" s="40"/>
    </row>
    <row r="209" spans="1:46">
      <c r="A209" s="40"/>
      <c r="B209" s="99">
        <f t="shared" si="150"/>
        <v>0</v>
      </c>
      <c r="C209" s="99">
        <f t="shared" si="149"/>
        <v>0</v>
      </c>
      <c r="D209" s="99">
        <f t="shared" si="149"/>
        <v>0</v>
      </c>
      <c r="E209" s="99">
        <f t="shared" si="149"/>
        <v>0</v>
      </c>
      <c r="F209" s="99">
        <f t="shared" si="149"/>
        <v>0</v>
      </c>
      <c r="G209" s="99">
        <f t="shared" si="149"/>
        <v>0</v>
      </c>
      <c r="H209" s="99">
        <f t="shared" si="149"/>
        <v>0</v>
      </c>
      <c r="I209" s="99">
        <f t="shared" si="149"/>
        <v>0</v>
      </c>
      <c r="J209" s="99">
        <f t="shared" si="149"/>
        <v>0</v>
      </c>
      <c r="K209" s="99">
        <f t="shared" si="149"/>
        <v>0</v>
      </c>
      <c r="L209" s="99">
        <f t="shared" si="149"/>
        <v>0</v>
      </c>
      <c r="M209" s="99">
        <f t="shared" si="149"/>
        <v>0</v>
      </c>
      <c r="N209" s="99">
        <f t="shared" si="149"/>
        <v>0</v>
      </c>
      <c r="O209" s="99">
        <f t="shared" si="149"/>
        <v>0</v>
      </c>
      <c r="P209" s="99">
        <f t="shared" si="149"/>
        <v>0</v>
      </c>
      <c r="Q209" s="99">
        <f t="shared" si="149"/>
        <v>0</v>
      </c>
      <c r="S209" s="40"/>
      <c r="AL209" s="40"/>
      <c r="AT209" s="40"/>
    </row>
    <row r="210" spans="1:46">
      <c r="A210" s="40"/>
      <c r="B210" s="99">
        <f t="shared" si="150"/>
        <v>0</v>
      </c>
      <c r="C210" s="99">
        <f t="shared" si="149"/>
        <v>0</v>
      </c>
      <c r="D210" s="99">
        <f t="shared" si="149"/>
        <v>0</v>
      </c>
      <c r="E210" s="99">
        <f t="shared" si="149"/>
        <v>0</v>
      </c>
      <c r="F210" s="99">
        <f t="shared" si="149"/>
        <v>0</v>
      </c>
      <c r="G210" s="99">
        <f t="shared" si="149"/>
        <v>0</v>
      </c>
      <c r="H210" s="99">
        <f t="shared" si="149"/>
        <v>0</v>
      </c>
      <c r="I210" s="99">
        <f t="shared" si="149"/>
        <v>0</v>
      </c>
      <c r="J210" s="99">
        <f t="shared" si="149"/>
        <v>0</v>
      </c>
      <c r="K210" s="99">
        <f t="shared" si="149"/>
        <v>0</v>
      </c>
      <c r="L210" s="99">
        <f t="shared" si="149"/>
        <v>0</v>
      </c>
      <c r="M210" s="99">
        <f t="shared" si="149"/>
        <v>0</v>
      </c>
      <c r="N210" s="99">
        <f t="shared" si="149"/>
        <v>0</v>
      </c>
      <c r="O210" s="99">
        <f t="shared" si="149"/>
        <v>0</v>
      </c>
      <c r="P210" s="99">
        <f t="shared" si="149"/>
        <v>0</v>
      </c>
      <c r="Q210" s="99">
        <f t="shared" si="149"/>
        <v>0</v>
      </c>
      <c r="S210" s="40"/>
      <c r="AL210" s="40"/>
      <c r="AT210" s="40"/>
    </row>
    <row r="211" spans="1:46">
      <c r="A211" s="40"/>
      <c r="B211" s="99">
        <f t="shared" si="150"/>
        <v>0</v>
      </c>
      <c r="C211" s="99">
        <f t="shared" si="149"/>
        <v>0</v>
      </c>
      <c r="D211" s="99">
        <f t="shared" si="149"/>
        <v>0</v>
      </c>
      <c r="E211" s="99">
        <f t="shared" si="149"/>
        <v>0</v>
      </c>
      <c r="F211" s="99">
        <f t="shared" si="149"/>
        <v>0</v>
      </c>
      <c r="G211" s="99">
        <f t="shared" si="149"/>
        <v>0</v>
      </c>
      <c r="H211" s="99">
        <f t="shared" si="149"/>
        <v>0</v>
      </c>
      <c r="I211" s="99">
        <f t="shared" si="149"/>
        <v>0</v>
      </c>
      <c r="J211" s="99">
        <f t="shared" si="149"/>
        <v>0</v>
      </c>
      <c r="K211" s="99">
        <f t="shared" si="149"/>
        <v>0</v>
      </c>
      <c r="L211" s="99">
        <f t="shared" si="149"/>
        <v>0</v>
      </c>
      <c r="M211" s="99">
        <f t="shared" si="149"/>
        <v>0</v>
      </c>
      <c r="N211" s="99">
        <f t="shared" si="149"/>
        <v>0</v>
      </c>
      <c r="O211" s="99">
        <f t="shared" si="149"/>
        <v>0</v>
      </c>
      <c r="P211" s="99">
        <f t="shared" si="149"/>
        <v>0</v>
      </c>
      <c r="Q211" s="99">
        <f t="shared" si="149"/>
        <v>0</v>
      </c>
      <c r="S211" s="40"/>
      <c r="AL211" s="40"/>
      <c r="AT211" s="40"/>
    </row>
    <row r="212" spans="1:46">
      <c r="A212" s="40"/>
      <c r="B212" s="99">
        <f t="shared" si="150"/>
        <v>0</v>
      </c>
      <c r="C212" s="99">
        <f t="shared" si="149"/>
        <v>0</v>
      </c>
      <c r="D212" s="99">
        <f t="shared" si="149"/>
        <v>0</v>
      </c>
      <c r="E212" s="99">
        <f t="shared" si="149"/>
        <v>0</v>
      </c>
      <c r="F212" s="99">
        <f t="shared" si="149"/>
        <v>0</v>
      </c>
      <c r="G212" s="99">
        <f t="shared" si="149"/>
        <v>0</v>
      </c>
      <c r="H212" s="99">
        <f t="shared" si="149"/>
        <v>0</v>
      </c>
      <c r="I212" s="99">
        <f t="shared" si="149"/>
        <v>0</v>
      </c>
      <c r="J212" s="99">
        <f t="shared" si="149"/>
        <v>0</v>
      </c>
      <c r="K212" s="99">
        <f t="shared" si="149"/>
        <v>0</v>
      </c>
      <c r="L212" s="99">
        <f t="shared" si="149"/>
        <v>0</v>
      </c>
      <c r="M212" s="99">
        <f t="shared" si="149"/>
        <v>0</v>
      </c>
      <c r="N212" s="99">
        <f t="shared" si="149"/>
        <v>0</v>
      </c>
      <c r="O212" s="99">
        <f t="shared" si="149"/>
        <v>0</v>
      </c>
      <c r="P212" s="99">
        <f t="shared" si="149"/>
        <v>0</v>
      </c>
      <c r="Q212" s="99">
        <f t="shared" si="149"/>
        <v>0</v>
      </c>
      <c r="S212" s="40"/>
      <c r="AL212" s="40"/>
      <c r="AT212" s="40"/>
    </row>
    <row r="213" spans="1:46">
      <c r="A213" s="40"/>
      <c r="B213" s="99">
        <f t="shared" si="150"/>
        <v>0</v>
      </c>
      <c r="C213" s="99">
        <f t="shared" si="149"/>
        <v>0</v>
      </c>
      <c r="D213" s="99">
        <f t="shared" si="149"/>
        <v>0</v>
      </c>
      <c r="E213" s="99">
        <f t="shared" si="149"/>
        <v>0</v>
      </c>
      <c r="F213" s="99">
        <f t="shared" si="149"/>
        <v>0</v>
      </c>
      <c r="G213" s="99">
        <f t="shared" si="149"/>
        <v>0</v>
      </c>
      <c r="H213" s="99">
        <f t="shared" si="149"/>
        <v>0</v>
      </c>
      <c r="I213" s="99">
        <f t="shared" si="149"/>
        <v>0</v>
      </c>
      <c r="J213" s="99">
        <f t="shared" si="149"/>
        <v>0</v>
      </c>
      <c r="K213" s="99">
        <f t="shared" si="149"/>
        <v>0</v>
      </c>
      <c r="L213" s="99">
        <f t="shared" si="149"/>
        <v>0</v>
      </c>
      <c r="M213" s="99">
        <f t="shared" si="149"/>
        <v>0</v>
      </c>
      <c r="N213" s="99">
        <f t="shared" si="149"/>
        <v>0</v>
      </c>
      <c r="O213" s="99">
        <f t="shared" si="149"/>
        <v>0</v>
      </c>
      <c r="P213" s="99">
        <f t="shared" si="149"/>
        <v>0</v>
      </c>
      <c r="Q213" s="99">
        <f t="shared" si="149"/>
        <v>0</v>
      </c>
      <c r="S213" s="40"/>
      <c r="AL213" s="40"/>
      <c r="AT213" s="40"/>
    </row>
    <row r="214" spans="1:46">
      <c r="A214" s="40"/>
      <c r="B214" s="99">
        <f t="shared" si="150"/>
        <v>0</v>
      </c>
      <c r="C214" s="99">
        <f t="shared" si="149"/>
        <v>0</v>
      </c>
      <c r="D214" s="99">
        <f t="shared" si="149"/>
        <v>0</v>
      </c>
      <c r="E214" s="99">
        <f t="shared" si="149"/>
        <v>0</v>
      </c>
      <c r="F214" s="99">
        <f t="shared" si="149"/>
        <v>0</v>
      </c>
      <c r="G214" s="99">
        <f t="shared" si="149"/>
        <v>0</v>
      </c>
      <c r="H214" s="99">
        <f t="shared" si="149"/>
        <v>0</v>
      </c>
      <c r="I214" s="99">
        <f t="shared" si="149"/>
        <v>0</v>
      </c>
      <c r="J214" s="99">
        <f t="shared" si="149"/>
        <v>0</v>
      </c>
      <c r="K214" s="99">
        <f t="shared" si="149"/>
        <v>0</v>
      </c>
      <c r="L214" s="99">
        <f t="shared" si="149"/>
        <v>0</v>
      </c>
      <c r="M214" s="99">
        <f t="shared" si="149"/>
        <v>0</v>
      </c>
      <c r="N214" s="99">
        <f t="shared" si="149"/>
        <v>0</v>
      </c>
      <c r="O214" s="99">
        <f t="shared" si="149"/>
        <v>0</v>
      </c>
      <c r="P214" s="99">
        <f t="shared" si="149"/>
        <v>0</v>
      </c>
      <c r="Q214" s="99">
        <f t="shared" si="149"/>
        <v>0</v>
      </c>
      <c r="S214" s="40"/>
      <c r="AL214" s="40"/>
      <c r="AT214" s="40"/>
    </row>
    <row r="215" spans="1:46">
      <c r="A215" s="40"/>
      <c r="B215" s="99">
        <f t="shared" si="150"/>
        <v>0</v>
      </c>
      <c r="C215" s="99">
        <f t="shared" si="149"/>
        <v>0</v>
      </c>
      <c r="D215" s="99">
        <f t="shared" si="149"/>
        <v>0</v>
      </c>
      <c r="E215" s="99">
        <f t="shared" si="149"/>
        <v>0</v>
      </c>
      <c r="F215" s="99">
        <f t="shared" si="149"/>
        <v>0</v>
      </c>
      <c r="G215" s="99">
        <f t="shared" si="149"/>
        <v>0</v>
      </c>
      <c r="H215" s="99">
        <f t="shared" si="149"/>
        <v>0</v>
      </c>
      <c r="I215" s="99">
        <f t="shared" si="149"/>
        <v>0</v>
      </c>
      <c r="J215" s="99">
        <f t="shared" si="149"/>
        <v>0</v>
      </c>
      <c r="K215" s="99">
        <f t="shared" si="149"/>
        <v>0</v>
      </c>
      <c r="L215" s="99">
        <f t="shared" si="149"/>
        <v>0</v>
      </c>
      <c r="M215" s="99">
        <f t="shared" si="149"/>
        <v>0</v>
      </c>
      <c r="N215" s="99">
        <f t="shared" si="149"/>
        <v>0</v>
      </c>
      <c r="O215" s="99">
        <f t="shared" si="149"/>
        <v>0</v>
      </c>
      <c r="P215" s="99">
        <f t="shared" si="149"/>
        <v>0</v>
      </c>
      <c r="Q215" s="99">
        <f t="shared" si="149"/>
        <v>0</v>
      </c>
      <c r="S215" s="40"/>
      <c r="AL215" s="40"/>
      <c r="AT215" s="40"/>
    </row>
    <row r="216" spans="1:46">
      <c r="A216" s="40"/>
      <c r="B216" s="99">
        <f t="shared" si="150"/>
        <v>0</v>
      </c>
      <c r="C216" s="99">
        <f t="shared" si="149"/>
        <v>0</v>
      </c>
      <c r="D216" s="99">
        <f t="shared" si="149"/>
        <v>0</v>
      </c>
      <c r="E216" s="99">
        <f t="shared" si="149"/>
        <v>0</v>
      </c>
      <c r="F216" s="99">
        <f t="shared" si="149"/>
        <v>0</v>
      </c>
      <c r="G216" s="99">
        <f t="shared" si="149"/>
        <v>0</v>
      </c>
      <c r="H216" s="99">
        <f t="shared" si="149"/>
        <v>0</v>
      </c>
      <c r="I216" s="99">
        <f t="shared" si="149"/>
        <v>0</v>
      </c>
      <c r="J216" s="99">
        <f t="shared" si="149"/>
        <v>0</v>
      </c>
      <c r="K216" s="99">
        <f t="shared" si="149"/>
        <v>0</v>
      </c>
      <c r="L216" s="99">
        <f t="shared" si="149"/>
        <v>0</v>
      </c>
      <c r="M216" s="99">
        <f t="shared" si="149"/>
        <v>0</v>
      </c>
      <c r="N216" s="99">
        <f t="shared" si="149"/>
        <v>0</v>
      </c>
      <c r="O216" s="99">
        <f t="shared" si="149"/>
        <v>0</v>
      </c>
      <c r="P216" s="99">
        <f t="shared" si="149"/>
        <v>0</v>
      </c>
      <c r="Q216" s="99">
        <f t="shared" si="149"/>
        <v>0</v>
      </c>
      <c r="S216" s="40"/>
      <c r="AL216" s="40"/>
      <c r="AT216" s="40"/>
    </row>
    <row r="217" spans="1:46">
      <c r="A217" s="40"/>
      <c r="B217" s="99">
        <f t="shared" si="150"/>
        <v>0</v>
      </c>
      <c r="C217" s="99">
        <f t="shared" si="149"/>
        <v>0</v>
      </c>
      <c r="D217" s="99">
        <f t="shared" si="149"/>
        <v>0</v>
      </c>
      <c r="E217" s="99">
        <f t="shared" si="149"/>
        <v>0</v>
      </c>
      <c r="F217" s="99">
        <f t="shared" si="149"/>
        <v>0</v>
      </c>
      <c r="G217" s="99">
        <f t="shared" si="149"/>
        <v>0</v>
      </c>
      <c r="H217" s="99">
        <f t="shared" si="149"/>
        <v>0</v>
      </c>
      <c r="I217" s="99">
        <f t="shared" si="149"/>
        <v>0</v>
      </c>
      <c r="J217" s="99">
        <f t="shared" si="149"/>
        <v>0</v>
      </c>
      <c r="K217" s="99">
        <f t="shared" si="149"/>
        <v>0</v>
      </c>
      <c r="L217" s="99">
        <f t="shared" si="149"/>
        <v>0</v>
      </c>
      <c r="M217" s="99">
        <f t="shared" si="149"/>
        <v>0</v>
      </c>
      <c r="N217" s="99">
        <f t="shared" si="149"/>
        <v>0</v>
      </c>
      <c r="O217" s="99">
        <f t="shared" si="149"/>
        <v>0</v>
      </c>
      <c r="P217" s="99">
        <f t="shared" si="149"/>
        <v>0</v>
      </c>
      <c r="Q217" s="99">
        <f t="shared" si="149"/>
        <v>0</v>
      </c>
      <c r="S217" s="40"/>
      <c r="AL217" s="40"/>
      <c r="AT217" s="40"/>
    </row>
    <row r="218" spans="1:46">
      <c r="A218" s="40"/>
      <c r="B218" s="99">
        <f t="shared" si="150"/>
        <v>0</v>
      </c>
      <c r="C218" s="99">
        <f t="shared" si="149"/>
        <v>0</v>
      </c>
      <c r="D218" s="99">
        <f t="shared" si="149"/>
        <v>0</v>
      </c>
      <c r="E218" s="99">
        <f t="shared" si="149"/>
        <v>0</v>
      </c>
      <c r="F218" s="99">
        <f t="shared" si="149"/>
        <v>0</v>
      </c>
      <c r="G218" s="99">
        <f t="shared" si="149"/>
        <v>0</v>
      </c>
      <c r="H218" s="99">
        <f t="shared" si="149"/>
        <v>0</v>
      </c>
      <c r="I218" s="99">
        <f t="shared" si="149"/>
        <v>0</v>
      </c>
      <c r="J218" s="99">
        <f t="shared" si="149"/>
        <v>0</v>
      </c>
      <c r="K218" s="99">
        <f t="shared" si="149"/>
        <v>0</v>
      </c>
      <c r="L218" s="99">
        <f t="shared" si="149"/>
        <v>0</v>
      </c>
      <c r="M218" s="99">
        <f t="shared" si="149"/>
        <v>0</v>
      </c>
      <c r="N218" s="99">
        <f t="shared" si="149"/>
        <v>0</v>
      </c>
      <c r="O218" s="99">
        <f t="shared" si="149"/>
        <v>0</v>
      </c>
      <c r="P218" s="99">
        <f t="shared" si="149"/>
        <v>0</v>
      </c>
      <c r="Q218" s="99">
        <f t="shared" si="149"/>
        <v>0</v>
      </c>
      <c r="S218" s="40"/>
      <c r="AL218" s="40"/>
      <c r="AT218" s="40"/>
    </row>
    <row r="219" spans="1:46">
      <c r="A219" s="40"/>
      <c r="B219" s="99">
        <f t="shared" si="150"/>
        <v>0</v>
      </c>
      <c r="C219" s="99">
        <f t="shared" si="149"/>
        <v>0</v>
      </c>
      <c r="D219" s="99">
        <f t="shared" si="149"/>
        <v>0</v>
      </c>
      <c r="E219" s="99">
        <f t="shared" si="149"/>
        <v>0</v>
      </c>
      <c r="F219" s="99">
        <f t="shared" si="149"/>
        <v>0</v>
      </c>
      <c r="G219" s="99">
        <f t="shared" si="149"/>
        <v>0</v>
      </c>
      <c r="H219" s="99">
        <f t="shared" si="149"/>
        <v>0</v>
      </c>
      <c r="I219" s="99">
        <f t="shared" si="149"/>
        <v>0</v>
      </c>
      <c r="J219" s="99">
        <f t="shared" si="149"/>
        <v>0</v>
      </c>
      <c r="K219" s="99">
        <f t="shared" si="149"/>
        <v>0</v>
      </c>
      <c r="L219" s="99">
        <f t="shared" si="149"/>
        <v>0</v>
      </c>
      <c r="M219" s="99">
        <f t="shared" si="149"/>
        <v>0</v>
      </c>
      <c r="N219" s="99">
        <f t="shared" si="149"/>
        <v>0</v>
      </c>
      <c r="O219" s="99">
        <f t="shared" si="149"/>
        <v>0</v>
      </c>
      <c r="P219" s="99">
        <f t="shared" si="149"/>
        <v>0</v>
      </c>
      <c r="Q219" s="99">
        <f t="shared" si="149"/>
        <v>0</v>
      </c>
      <c r="S219" s="40"/>
      <c r="AL219" s="40"/>
      <c r="AT219" s="40"/>
    </row>
    <row r="220" spans="1:46">
      <c r="A220" s="40"/>
      <c r="B220" s="99">
        <f t="shared" si="150"/>
        <v>0</v>
      </c>
      <c r="C220" s="99">
        <f t="shared" ref="C220:Q235" si="151">+C133-C49</f>
        <v>0</v>
      </c>
      <c r="D220" s="99">
        <f t="shared" si="151"/>
        <v>0</v>
      </c>
      <c r="E220" s="99">
        <f t="shared" si="151"/>
        <v>0</v>
      </c>
      <c r="F220" s="99">
        <f t="shared" si="151"/>
        <v>0</v>
      </c>
      <c r="G220" s="99">
        <f t="shared" si="151"/>
        <v>0</v>
      </c>
      <c r="H220" s="99">
        <f t="shared" si="151"/>
        <v>0</v>
      </c>
      <c r="I220" s="99">
        <f t="shared" si="151"/>
        <v>0</v>
      </c>
      <c r="J220" s="99">
        <f t="shared" si="151"/>
        <v>0</v>
      </c>
      <c r="K220" s="99">
        <f t="shared" si="151"/>
        <v>0</v>
      </c>
      <c r="L220" s="99">
        <f t="shared" si="151"/>
        <v>0</v>
      </c>
      <c r="M220" s="99">
        <f t="shared" si="151"/>
        <v>0</v>
      </c>
      <c r="N220" s="99">
        <f t="shared" si="151"/>
        <v>0</v>
      </c>
      <c r="O220" s="99">
        <f t="shared" si="151"/>
        <v>0</v>
      </c>
      <c r="P220" s="99">
        <f t="shared" si="151"/>
        <v>0</v>
      </c>
      <c r="Q220" s="99">
        <f t="shared" si="151"/>
        <v>0</v>
      </c>
      <c r="S220" s="40"/>
      <c r="AL220" s="40"/>
      <c r="AT220" s="40"/>
    </row>
    <row r="221" spans="1:46">
      <c r="A221" s="40"/>
      <c r="B221" s="99">
        <f t="shared" si="150"/>
        <v>0</v>
      </c>
      <c r="C221" s="99">
        <f t="shared" si="151"/>
        <v>0</v>
      </c>
      <c r="D221" s="99">
        <f t="shared" si="151"/>
        <v>0</v>
      </c>
      <c r="E221" s="99">
        <f t="shared" si="151"/>
        <v>0</v>
      </c>
      <c r="F221" s="99">
        <f t="shared" si="151"/>
        <v>0</v>
      </c>
      <c r="G221" s="99">
        <f t="shared" si="151"/>
        <v>0</v>
      </c>
      <c r="H221" s="99">
        <f t="shared" si="151"/>
        <v>0</v>
      </c>
      <c r="I221" s="99">
        <f t="shared" si="151"/>
        <v>0</v>
      </c>
      <c r="J221" s="99">
        <f t="shared" si="151"/>
        <v>0</v>
      </c>
      <c r="K221" s="99">
        <f t="shared" si="151"/>
        <v>0</v>
      </c>
      <c r="L221" s="99">
        <f t="shared" si="151"/>
        <v>0</v>
      </c>
      <c r="M221" s="99">
        <f t="shared" si="151"/>
        <v>0</v>
      </c>
      <c r="N221" s="99">
        <f t="shared" si="151"/>
        <v>0</v>
      </c>
      <c r="O221" s="99">
        <f t="shared" si="151"/>
        <v>0</v>
      </c>
      <c r="P221" s="99">
        <f t="shared" si="151"/>
        <v>0</v>
      </c>
      <c r="Q221" s="99">
        <f t="shared" si="151"/>
        <v>0</v>
      </c>
      <c r="S221" s="40"/>
      <c r="AL221" s="40"/>
      <c r="AT221" s="40"/>
    </row>
    <row r="222" spans="1:46">
      <c r="A222" s="40"/>
      <c r="B222" s="99">
        <f t="shared" si="150"/>
        <v>0</v>
      </c>
      <c r="C222" s="99">
        <f t="shared" si="151"/>
        <v>0</v>
      </c>
      <c r="D222" s="99">
        <f t="shared" si="151"/>
        <v>0</v>
      </c>
      <c r="E222" s="99">
        <f t="shared" si="151"/>
        <v>0</v>
      </c>
      <c r="F222" s="99">
        <f t="shared" si="151"/>
        <v>0</v>
      </c>
      <c r="G222" s="99">
        <f t="shared" si="151"/>
        <v>0</v>
      </c>
      <c r="H222" s="99">
        <f t="shared" si="151"/>
        <v>0</v>
      </c>
      <c r="I222" s="99">
        <f t="shared" si="151"/>
        <v>0</v>
      </c>
      <c r="J222" s="99">
        <f t="shared" si="151"/>
        <v>0</v>
      </c>
      <c r="K222" s="99">
        <f t="shared" si="151"/>
        <v>0</v>
      </c>
      <c r="L222" s="99">
        <f t="shared" si="151"/>
        <v>0</v>
      </c>
      <c r="M222" s="99">
        <f t="shared" si="151"/>
        <v>0</v>
      </c>
      <c r="N222" s="99">
        <f t="shared" si="151"/>
        <v>0</v>
      </c>
      <c r="O222" s="99">
        <f t="shared" si="151"/>
        <v>0</v>
      </c>
      <c r="P222" s="99">
        <f t="shared" si="151"/>
        <v>0</v>
      </c>
      <c r="Q222" s="99">
        <f t="shared" si="151"/>
        <v>0</v>
      </c>
      <c r="S222" s="40"/>
      <c r="AL222" s="40"/>
      <c r="AT222" s="40"/>
    </row>
    <row r="223" spans="1:46">
      <c r="A223" s="40"/>
      <c r="B223" s="99">
        <f t="shared" si="150"/>
        <v>0</v>
      </c>
      <c r="C223" s="99">
        <f t="shared" si="151"/>
        <v>0</v>
      </c>
      <c r="D223" s="99">
        <f t="shared" si="151"/>
        <v>0</v>
      </c>
      <c r="E223" s="99">
        <f t="shared" si="151"/>
        <v>0</v>
      </c>
      <c r="F223" s="99">
        <f t="shared" si="151"/>
        <v>0</v>
      </c>
      <c r="G223" s="99">
        <f t="shared" si="151"/>
        <v>0</v>
      </c>
      <c r="H223" s="99">
        <f t="shared" si="151"/>
        <v>0</v>
      </c>
      <c r="I223" s="99">
        <f t="shared" si="151"/>
        <v>0</v>
      </c>
      <c r="J223" s="99">
        <f t="shared" si="151"/>
        <v>0</v>
      </c>
      <c r="K223" s="99">
        <f t="shared" si="151"/>
        <v>0</v>
      </c>
      <c r="L223" s="99">
        <f t="shared" si="151"/>
        <v>0</v>
      </c>
      <c r="M223" s="99">
        <f t="shared" si="151"/>
        <v>0</v>
      </c>
      <c r="N223" s="99">
        <f t="shared" si="151"/>
        <v>0</v>
      </c>
      <c r="O223" s="99">
        <f t="shared" si="151"/>
        <v>0</v>
      </c>
      <c r="P223" s="99">
        <f t="shared" si="151"/>
        <v>0</v>
      </c>
      <c r="Q223" s="99">
        <f t="shared" si="151"/>
        <v>0</v>
      </c>
      <c r="S223" s="40"/>
      <c r="AL223" s="40"/>
      <c r="AT223" s="40"/>
    </row>
    <row r="224" spans="1:46">
      <c r="A224" s="40"/>
      <c r="B224" s="99">
        <f t="shared" si="150"/>
        <v>0</v>
      </c>
      <c r="C224" s="99">
        <f t="shared" si="151"/>
        <v>0</v>
      </c>
      <c r="D224" s="99">
        <f t="shared" si="151"/>
        <v>0</v>
      </c>
      <c r="E224" s="99">
        <f t="shared" si="151"/>
        <v>0</v>
      </c>
      <c r="F224" s="99">
        <f t="shared" si="151"/>
        <v>0</v>
      </c>
      <c r="G224" s="99">
        <f t="shared" si="151"/>
        <v>0</v>
      </c>
      <c r="H224" s="99">
        <f t="shared" si="151"/>
        <v>0</v>
      </c>
      <c r="I224" s="99">
        <f t="shared" si="151"/>
        <v>0</v>
      </c>
      <c r="J224" s="99">
        <f t="shared" si="151"/>
        <v>0</v>
      </c>
      <c r="K224" s="99">
        <f t="shared" si="151"/>
        <v>0</v>
      </c>
      <c r="L224" s="99">
        <f t="shared" si="151"/>
        <v>0</v>
      </c>
      <c r="M224" s="99">
        <f t="shared" si="151"/>
        <v>0</v>
      </c>
      <c r="N224" s="99">
        <f t="shared" si="151"/>
        <v>0</v>
      </c>
      <c r="O224" s="99">
        <f t="shared" si="151"/>
        <v>0</v>
      </c>
      <c r="P224" s="99">
        <f t="shared" si="151"/>
        <v>0</v>
      </c>
      <c r="Q224" s="99">
        <f t="shared" si="151"/>
        <v>0</v>
      </c>
      <c r="S224" s="40"/>
      <c r="AL224" s="40"/>
      <c r="AT224" s="40"/>
    </row>
    <row r="225" spans="1:46">
      <c r="A225" s="40"/>
      <c r="B225" s="99">
        <f t="shared" si="150"/>
        <v>0</v>
      </c>
      <c r="C225" s="99">
        <f t="shared" si="151"/>
        <v>0</v>
      </c>
      <c r="D225" s="99">
        <f t="shared" si="151"/>
        <v>0</v>
      </c>
      <c r="E225" s="99">
        <f t="shared" si="151"/>
        <v>0</v>
      </c>
      <c r="F225" s="99">
        <f t="shared" si="151"/>
        <v>0</v>
      </c>
      <c r="G225" s="99">
        <f t="shared" si="151"/>
        <v>0</v>
      </c>
      <c r="H225" s="99">
        <f t="shared" si="151"/>
        <v>0</v>
      </c>
      <c r="I225" s="99">
        <f t="shared" si="151"/>
        <v>0</v>
      </c>
      <c r="J225" s="99">
        <f t="shared" si="151"/>
        <v>0</v>
      </c>
      <c r="K225" s="99">
        <f t="shared" si="151"/>
        <v>0</v>
      </c>
      <c r="L225" s="99">
        <f t="shared" si="151"/>
        <v>0</v>
      </c>
      <c r="M225" s="99">
        <f t="shared" si="151"/>
        <v>0</v>
      </c>
      <c r="N225" s="99">
        <f t="shared" si="151"/>
        <v>0</v>
      </c>
      <c r="O225" s="99">
        <f t="shared" si="151"/>
        <v>0</v>
      </c>
      <c r="P225" s="99">
        <f t="shared" si="151"/>
        <v>0</v>
      </c>
      <c r="Q225" s="99">
        <f t="shared" si="151"/>
        <v>0</v>
      </c>
      <c r="S225" s="40"/>
      <c r="AL225" s="40"/>
      <c r="AT225" s="40"/>
    </row>
    <row r="226" spans="1:46">
      <c r="A226" s="40"/>
      <c r="B226" s="99">
        <f t="shared" si="150"/>
        <v>0</v>
      </c>
      <c r="C226" s="99">
        <f t="shared" si="151"/>
        <v>0</v>
      </c>
      <c r="D226" s="99">
        <f t="shared" si="151"/>
        <v>0</v>
      </c>
      <c r="E226" s="99">
        <f t="shared" si="151"/>
        <v>0</v>
      </c>
      <c r="F226" s="99">
        <f t="shared" si="151"/>
        <v>0</v>
      </c>
      <c r="G226" s="99">
        <f t="shared" si="151"/>
        <v>0</v>
      </c>
      <c r="H226" s="99">
        <f t="shared" si="151"/>
        <v>0</v>
      </c>
      <c r="I226" s="99">
        <f t="shared" si="151"/>
        <v>0</v>
      </c>
      <c r="J226" s="99">
        <f t="shared" si="151"/>
        <v>0</v>
      </c>
      <c r="K226" s="99">
        <f t="shared" si="151"/>
        <v>0</v>
      </c>
      <c r="L226" s="99">
        <f t="shared" si="151"/>
        <v>0</v>
      </c>
      <c r="M226" s="99">
        <f t="shared" si="151"/>
        <v>0</v>
      </c>
      <c r="N226" s="99">
        <f t="shared" si="151"/>
        <v>0</v>
      </c>
      <c r="O226" s="99">
        <f t="shared" si="151"/>
        <v>0</v>
      </c>
      <c r="P226" s="99">
        <f t="shared" si="151"/>
        <v>0</v>
      </c>
      <c r="Q226" s="99">
        <f t="shared" si="151"/>
        <v>0</v>
      </c>
      <c r="S226" s="40"/>
      <c r="AL226" s="40"/>
      <c r="AT226" s="40"/>
    </row>
    <row r="227" spans="1:46">
      <c r="A227" s="40"/>
      <c r="B227" s="99">
        <f t="shared" si="150"/>
        <v>0</v>
      </c>
      <c r="C227" s="99">
        <f t="shared" si="151"/>
        <v>0</v>
      </c>
      <c r="D227" s="99">
        <f t="shared" si="151"/>
        <v>0</v>
      </c>
      <c r="E227" s="99">
        <f t="shared" si="151"/>
        <v>0</v>
      </c>
      <c r="F227" s="99">
        <f t="shared" si="151"/>
        <v>0</v>
      </c>
      <c r="G227" s="99">
        <f t="shared" si="151"/>
        <v>0</v>
      </c>
      <c r="H227" s="99">
        <f t="shared" si="151"/>
        <v>0</v>
      </c>
      <c r="I227" s="99">
        <f t="shared" si="151"/>
        <v>0</v>
      </c>
      <c r="J227" s="99">
        <f t="shared" si="151"/>
        <v>0</v>
      </c>
      <c r="K227" s="99">
        <f t="shared" si="151"/>
        <v>0</v>
      </c>
      <c r="L227" s="99">
        <f t="shared" si="151"/>
        <v>0</v>
      </c>
      <c r="M227" s="99">
        <f t="shared" si="151"/>
        <v>0</v>
      </c>
      <c r="N227" s="99">
        <f t="shared" si="151"/>
        <v>0</v>
      </c>
      <c r="O227" s="99">
        <f t="shared" si="151"/>
        <v>0</v>
      </c>
      <c r="P227" s="99">
        <f t="shared" si="151"/>
        <v>0</v>
      </c>
      <c r="Q227" s="99">
        <f t="shared" si="151"/>
        <v>0</v>
      </c>
      <c r="S227" s="40"/>
      <c r="AL227" s="40"/>
      <c r="AT227" s="40"/>
    </row>
    <row r="228" spans="1:46">
      <c r="A228" s="40"/>
      <c r="B228" s="99">
        <f t="shared" si="150"/>
        <v>0</v>
      </c>
      <c r="C228" s="99">
        <f t="shared" si="151"/>
        <v>0</v>
      </c>
      <c r="D228" s="99">
        <f t="shared" si="151"/>
        <v>0</v>
      </c>
      <c r="E228" s="99">
        <f t="shared" si="151"/>
        <v>0</v>
      </c>
      <c r="F228" s="99">
        <f t="shared" si="151"/>
        <v>0</v>
      </c>
      <c r="G228" s="99">
        <f t="shared" si="151"/>
        <v>0</v>
      </c>
      <c r="H228" s="99">
        <f t="shared" si="151"/>
        <v>0</v>
      </c>
      <c r="I228" s="99">
        <f t="shared" si="151"/>
        <v>0</v>
      </c>
      <c r="J228" s="99">
        <f t="shared" si="151"/>
        <v>0</v>
      </c>
      <c r="K228" s="99">
        <f t="shared" si="151"/>
        <v>0</v>
      </c>
      <c r="L228" s="99">
        <f t="shared" si="151"/>
        <v>0</v>
      </c>
      <c r="M228" s="99">
        <f t="shared" si="151"/>
        <v>0</v>
      </c>
      <c r="N228" s="99">
        <f t="shared" si="151"/>
        <v>0</v>
      </c>
      <c r="O228" s="99">
        <f t="shared" si="151"/>
        <v>0</v>
      </c>
      <c r="P228" s="99">
        <f t="shared" si="151"/>
        <v>0</v>
      </c>
      <c r="Q228" s="99">
        <f t="shared" si="151"/>
        <v>0</v>
      </c>
      <c r="S228" s="40"/>
      <c r="AL228" s="40"/>
      <c r="AT228" s="40"/>
    </row>
    <row r="229" spans="1:46">
      <c r="A229" s="40"/>
      <c r="B229" s="99">
        <f t="shared" si="150"/>
        <v>0</v>
      </c>
      <c r="C229" s="99">
        <f t="shared" si="151"/>
        <v>0</v>
      </c>
      <c r="D229" s="99">
        <f t="shared" si="151"/>
        <v>0</v>
      </c>
      <c r="E229" s="99">
        <f t="shared" si="151"/>
        <v>0</v>
      </c>
      <c r="F229" s="99">
        <f t="shared" si="151"/>
        <v>0</v>
      </c>
      <c r="G229" s="99">
        <f t="shared" si="151"/>
        <v>0</v>
      </c>
      <c r="H229" s="99">
        <f t="shared" si="151"/>
        <v>0</v>
      </c>
      <c r="I229" s="99">
        <f t="shared" si="151"/>
        <v>0</v>
      </c>
      <c r="J229" s="99">
        <f t="shared" si="151"/>
        <v>0</v>
      </c>
      <c r="K229" s="99">
        <f t="shared" si="151"/>
        <v>0</v>
      </c>
      <c r="L229" s="99">
        <f t="shared" si="151"/>
        <v>0</v>
      </c>
      <c r="M229" s="99">
        <f t="shared" si="151"/>
        <v>0</v>
      </c>
      <c r="N229" s="99">
        <f t="shared" si="151"/>
        <v>0</v>
      </c>
      <c r="O229" s="99">
        <f t="shared" si="151"/>
        <v>0</v>
      </c>
      <c r="P229" s="99">
        <f t="shared" si="151"/>
        <v>0</v>
      </c>
      <c r="Q229" s="99">
        <f t="shared" si="151"/>
        <v>0</v>
      </c>
      <c r="S229" s="40"/>
      <c r="AL229" s="40"/>
      <c r="AT229" s="40"/>
    </row>
    <row r="230" spans="1:46">
      <c r="A230" s="40"/>
      <c r="B230" s="99">
        <f t="shared" si="150"/>
        <v>0</v>
      </c>
      <c r="C230" s="99">
        <f t="shared" si="151"/>
        <v>0</v>
      </c>
      <c r="D230" s="99">
        <f t="shared" si="151"/>
        <v>0</v>
      </c>
      <c r="E230" s="99">
        <f t="shared" si="151"/>
        <v>0</v>
      </c>
      <c r="F230" s="99">
        <f t="shared" si="151"/>
        <v>0</v>
      </c>
      <c r="G230" s="99">
        <f t="shared" si="151"/>
        <v>0</v>
      </c>
      <c r="H230" s="99">
        <f t="shared" si="151"/>
        <v>0</v>
      </c>
      <c r="I230" s="99">
        <f t="shared" si="151"/>
        <v>0</v>
      </c>
      <c r="J230" s="99">
        <f t="shared" si="151"/>
        <v>0</v>
      </c>
      <c r="K230" s="99">
        <f t="shared" si="151"/>
        <v>0</v>
      </c>
      <c r="L230" s="99">
        <f t="shared" si="151"/>
        <v>0</v>
      </c>
      <c r="M230" s="99">
        <f t="shared" si="151"/>
        <v>0</v>
      </c>
      <c r="N230" s="99">
        <f t="shared" si="151"/>
        <v>0</v>
      </c>
      <c r="O230" s="99">
        <f t="shared" si="151"/>
        <v>0</v>
      </c>
      <c r="P230" s="99">
        <f t="shared" si="151"/>
        <v>0</v>
      </c>
      <c r="Q230" s="99">
        <f t="shared" si="151"/>
        <v>0</v>
      </c>
      <c r="S230" s="40"/>
      <c r="AL230" s="40"/>
      <c r="AT230" s="40"/>
    </row>
    <row r="231" spans="1:46">
      <c r="A231" s="40"/>
      <c r="B231" s="99">
        <f t="shared" si="150"/>
        <v>0</v>
      </c>
      <c r="C231" s="99">
        <f t="shared" si="151"/>
        <v>0</v>
      </c>
      <c r="D231" s="99">
        <f t="shared" si="151"/>
        <v>0</v>
      </c>
      <c r="E231" s="99">
        <f t="shared" si="151"/>
        <v>0</v>
      </c>
      <c r="F231" s="99">
        <f t="shared" si="151"/>
        <v>0</v>
      </c>
      <c r="G231" s="99">
        <f t="shared" si="151"/>
        <v>0</v>
      </c>
      <c r="H231" s="99">
        <f t="shared" si="151"/>
        <v>0</v>
      </c>
      <c r="I231" s="99">
        <f t="shared" si="151"/>
        <v>0</v>
      </c>
      <c r="J231" s="99">
        <f t="shared" si="151"/>
        <v>0</v>
      </c>
      <c r="K231" s="99">
        <f t="shared" si="151"/>
        <v>0</v>
      </c>
      <c r="L231" s="99">
        <f t="shared" si="151"/>
        <v>0</v>
      </c>
      <c r="M231" s="99">
        <f t="shared" si="151"/>
        <v>0</v>
      </c>
      <c r="N231" s="99">
        <f t="shared" si="151"/>
        <v>0</v>
      </c>
      <c r="O231" s="99">
        <f t="shared" si="151"/>
        <v>0</v>
      </c>
      <c r="P231" s="99">
        <f t="shared" si="151"/>
        <v>0</v>
      </c>
      <c r="Q231" s="99">
        <f t="shared" si="151"/>
        <v>0</v>
      </c>
      <c r="S231" s="40"/>
      <c r="AL231" s="40"/>
      <c r="AT231" s="40"/>
    </row>
    <row r="232" spans="1:46">
      <c r="A232" s="40"/>
      <c r="B232" s="99">
        <f t="shared" si="150"/>
        <v>0</v>
      </c>
      <c r="C232" s="99">
        <f t="shared" si="151"/>
        <v>0</v>
      </c>
      <c r="D232" s="99">
        <f t="shared" si="151"/>
        <v>0</v>
      </c>
      <c r="E232" s="99">
        <f t="shared" si="151"/>
        <v>0</v>
      </c>
      <c r="F232" s="99">
        <f t="shared" si="151"/>
        <v>0</v>
      </c>
      <c r="G232" s="99">
        <f t="shared" si="151"/>
        <v>0</v>
      </c>
      <c r="H232" s="99">
        <f t="shared" si="151"/>
        <v>0</v>
      </c>
      <c r="I232" s="99">
        <f t="shared" si="151"/>
        <v>0</v>
      </c>
      <c r="J232" s="99">
        <f t="shared" si="151"/>
        <v>0</v>
      </c>
      <c r="K232" s="99">
        <f t="shared" si="151"/>
        <v>0</v>
      </c>
      <c r="L232" s="99">
        <f t="shared" si="151"/>
        <v>0</v>
      </c>
      <c r="M232" s="99">
        <f t="shared" si="151"/>
        <v>0</v>
      </c>
      <c r="N232" s="99">
        <f t="shared" si="151"/>
        <v>0</v>
      </c>
      <c r="O232" s="99">
        <f t="shared" si="151"/>
        <v>0</v>
      </c>
      <c r="P232" s="99">
        <f t="shared" si="151"/>
        <v>0</v>
      </c>
      <c r="Q232" s="99">
        <f t="shared" si="151"/>
        <v>0</v>
      </c>
      <c r="S232" s="40"/>
      <c r="AL232" s="40"/>
      <c r="AT232" s="40"/>
    </row>
    <row r="233" spans="1:46">
      <c r="A233" s="40"/>
      <c r="B233" s="99">
        <f t="shared" si="150"/>
        <v>0</v>
      </c>
      <c r="C233" s="99">
        <f t="shared" si="151"/>
        <v>0</v>
      </c>
      <c r="D233" s="99">
        <f t="shared" si="151"/>
        <v>0</v>
      </c>
      <c r="E233" s="99">
        <f t="shared" si="151"/>
        <v>0</v>
      </c>
      <c r="F233" s="99">
        <f t="shared" si="151"/>
        <v>0</v>
      </c>
      <c r="G233" s="99">
        <f t="shared" si="151"/>
        <v>0</v>
      </c>
      <c r="H233" s="99">
        <f t="shared" si="151"/>
        <v>0</v>
      </c>
      <c r="I233" s="99">
        <f t="shared" si="151"/>
        <v>0</v>
      </c>
      <c r="J233" s="99">
        <f t="shared" si="151"/>
        <v>0</v>
      </c>
      <c r="K233" s="99">
        <f t="shared" si="151"/>
        <v>0</v>
      </c>
      <c r="L233" s="99">
        <f t="shared" si="151"/>
        <v>0</v>
      </c>
      <c r="M233" s="99">
        <f t="shared" si="151"/>
        <v>0</v>
      </c>
      <c r="N233" s="99">
        <f t="shared" si="151"/>
        <v>0</v>
      </c>
      <c r="O233" s="99">
        <f t="shared" si="151"/>
        <v>0</v>
      </c>
      <c r="P233" s="99">
        <f t="shared" si="151"/>
        <v>0</v>
      </c>
      <c r="Q233" s="99">
        <f t="shared" si="151"/>
        <v>0</v>
      </c>
      <c r="S233" s="40"/>
      <c r="AL233" s="40"/>
      <c r="AT233" s="40"/>
    </row>
    <row r="234" spans="1:46">
      <c r="A234" s="40"/>
      <c r="B234" s="99">
        <f t="shared" si="150"/>
        <v>0</v>
      </c>
      <c r="C234" s="99">
        <f t="shared" si="151"/>
        <v>0</v>
      </c>
      <c r="D234" s="99">
        <f t="shared" si="151"/>
        <v>0</v>
      </c>
      <c r="E234" s="99">
        <f t="shared" si="151"/>
        <v>0</v>
      </c>
      <c r="F234" s="99">
        <f t="shared" si="151"/>
        <v>0</v>
      </c>
      <c r="G234" s="99">
        <f t="shared" si="151"/>
        <v>0</v>
      </c>
      <c r="H234" s="99">
        <f t="shared" si="151"/>
        <v>0</v>
      </c>
      <c r="I234" s="99">
        <f t="shared" si="151"/>
        <v>0</v>
      </c>
      <c r="J234" s="99">
        <f t="shared" si="151"/>
        <v>0</v>
      </c>
      <c r="K234" s="99">
        <f t="shared" si="151"/>
        <v>0</v>
      </c>
      <c r="L234" s="99">
        <f t="shared" si="151"/>
        <v>0</v>
      </c>
      <c r="M234" s="99">
        <f t="shared" si="151"/>
        <v>0</v>
      </c>
      <c r="N234" s="99">
        <f t="shared" si="151"/>
        <v>0</v>
      </c>
      <c r="O234" s="99">
        <f t="shared" si="151"/>
        <v>0</v>
      </c>
      <c r="P234" s="99">
        <f t="shared" si="151"/>
        <v>0</v>
      </c>
      <c r="Q234" s="99">
        <f t="shared" si="151"/>
        <v>0</v>
      </c>
      <c r="S234" s="40"/>
      <c r="AL234" s="40"/>
      <c r="AT234" s="40"/>
    </row>
    <row r="235" spans="1:46">
      <c r="A235" s="40"/>
      <c r="B235" s="99">
        <f t="shared" si="150"/>
        <v>0</v>
      </c>
      <c r="C235" s="99">
        <f t="shared" si="151"/>
        <v>0</v>
      </c>
      <c r="D235" s="99">
        <f t="shared" si="151"/>
        <v>0</v>
      </c>
      <c r="E235" s="99">
        <f t="shared" si="151"/>
        <v>0</v>
      </c>
      <c r="F235" s="99">
        <f t="shared" si="151"/>
        <v>0</v>
      </c>
      <c r="G235" s="99">
        <f t="shared" si="151"/>
        <v>0</v>
      </c>
      <c r="H235" s="99">
        <f t="shared" si="151"/>
        <v>0</v>
      </c>
      <c r="I235" s="99">
        <f t="shared" si="151"/>
        <v>0</v>
      </c>
      <c r="J235" s="99">
        <f t="shared" si="151"/>
        <v>0</v>
      </c>
      <c r="K235" s="99">
        <f t="shared" si="151"/>
        <v>0</v>
      </c>
      <c r="L235" s="99">
        <f t="shared" si="151"/>
        <v>0</v>
      </c>
      <c r="M235" s="99">
        <f t="shared" si="151"/>
        <v>0</v>
      </c>
      <c r="N235" s="99">
        <f t="shared" si="151"/>
        <v>0</v>
      </c>
      <c r="O235" s="99">
        <f t="shared" si="151"/>
        <v>0</v>
      </c>
      <c r="P235" s="99">
        <f t="shared" si="151"/>
        <v>0</v>
      </c>
      <c r="Q235" s="99">
        <f t="shared" si="151"/>
        <v>0</v>
      </c>
      <c r="S235" s="40"/>
      <c r="AL235" s="40"/>
      <c r="AT235" s="40"/>
    </row>
    <row r="236" spans="1:46">
      <c r="A236" s="40"/>
      <c r="B236" s="99">
        <f t="shared" si="150"/>
        <v>0</v>
      </c>
      <c r="C236" s="99">
        <f t="shared" ref="C236:Q239" si="152">+C149-C65</f>
        <v>0</v>
      </c>
      <c r="D236" s="99">
        <f t="shared" si="152"/>
        <v>0</v>
      </c>
      <c r="E236" s="99">
        <f t="shared" si="152"/>
        <v>0</v>
      </c>
      <c r="F236" s="99">
        <f t="shared" si="152"/>
        <v>0</v>
      </c>
      <c r="G236" s="99">
        <f t="shared" si="152"/>
        <v>0</v>
      </c>
      <c r="H236" s="99">
        <f t="shared" si="152"/>
        <v>0</v>
      </c>
      <c r="I236" s="99">
        <f t="shared" si="152"/>
        <v>0</v>
      </c>
      <c r="J236" s="99">
        <f t="shared" si="152"/>
        <v>0</v>
      </c>
      <c r="K236" s="99">
        <f t="shared" si="152"/>
        <v>0</v>
      </c>
      <c r="L236" s="99">
        <f t="shared" si="152"/>
        <v>0</v>
      </c>
      <c r="M236" s="99">
        <f t="shared" si="152"/>
        <v>0</v>
      </c>
      <c r="N236" s="99">
        <f t="shared" si="152"/>
        <v>0</v>
      </c>
      <c r="O236" s="99">
        <f t="shared" si="152"/>
        <v>0</v>
      </c>
      <c r="P236" s="99">
        <f t="shared" si="152"/>
        <v>0</v>
      </c>
      <c r="Q236" s="99">
        <f t="shared" si="152"/>
        <v>0</v>
      </c>
      <c r="S236" s="40"/>
      <c r="AL236" s="40"/>
      <c r="AT236" s="40"/>
    </row>
    <row r="237" spans="1:46">
      <c r="A237" s="40"/>
      <c r="B237" s="99">
        <f t="shared" si="150"/>
        <v>0</v>
      </c>
      <c r="C237" s="99">
        <f t="shared" si="152"/>
        <v>0</v>
      </c>
      <c r="D237" s="99">
        <f t="shared" si="152"/>
        <v>0</v>
      </c>
      <c r="E237" s="99">
        <f t="shared" si="152"/>
        <v>0</v>
      </c>
      <c r="F237" s="99">
        <f t="shared" si="152"/>
        <v>0</v>
      </c>
      <c r="G237" s="99">
        <f t="shared" si="152"/>
        <v>0</v>
      </c>
      <c r="H237" s="99">
        <f t="shared" si="152"/>
        <v>0</v>
      </c>
      <c r="I237" s="99">
        <f t="shared" si="152"/>
        <v>0</v>
      </c>
      <c r="J237" s="99">
        <f t="shared" si="152"/>
        <v>0</v>
      </c>
      <c r="K237" s="99">
        <f t="shared" si="152"/>
        <v>0</v>
      </c>
      <c r="L237" s="99">
        <f t="shared" si="152"/>
        <v>0</v>
      </c>
      <c r="M237" s="99">
        <f t="shared" si="152"/>
        <v>0</v>
      </c>
      <c r="N237" s="99">
        <f t="shared" si="152"/>
        <v>0</v>
      </c>
      <c r="O237" s="99">
        <f t="shared" si="152"/>
        <v>0</v>
      </c>
      <c r="P237" s="99">
        <f t="shared" si="152"/>
        <v>0</v>
      </c>
      <c r="Q237" s="99">
        <f t="shared" si="152"/>
        <v>0</v>
      </c>
      <c r="S237" s="40"/>
      <c r="AL237" s="40"/>
      <c r="AT237" s="40"/>
    </row>
    <row r="238" spans="1:46">
      <c r="A238" s="40"/>
      <c r="B238" s="99">
        <f t="shared" si="150"/>
        <v>0</v>
      </c>
      <c r="C238" s="99">
        <f t="shared" si="152"/>
        <v>0</v>
      </c>
      <c r="D238" s="99">
        <f t="shared" si="152"/>
        <v>0</v>
      </c>
      <c r="E238" s="99">
        <f t="shared" si="152"/>
        <v>0</v>
      </c>
      <c r="F238" s="99">
        <f t="shared" si="152"/>
        <v>0</v>
      </c>
      <c r="G238" s="99">
        <f t="shared" si="152"/>
        <v>0</v>
      </c>
      <c r="H238" s="99">
        <f t="shared" si="152"/>
        <v>0</v>
      </c>
      <c r="I238" s="99">
        <f t="shared" si="152"/>
        <v>0</v>
      </c>
      <c r="J238" s="99">
        <f t="shared" si="152"/>
        <v>0</v>
      </c>
      <c r="K238" s="99">
        <f t="shared" si="152"/>
        <v>0</v>
      </c>
      <c r="L238" s="99">
        <f t="shared" si="152"/>
        <v>0</v>
      </c>
      <c r="M238" s="99">
        <f t="shared" si="152"/>
        <v>0</v>
      </c>
      <c r="N238" s="99">
        <f t="shared" si="152"/>
        <v>0</v>
      </c>
      <c r="O238" s="99">
        <f t="shared" si="152"/>
        <v>0</v>
      </c>
      <c r="P238" s="99">
        <f t="shared" si="152"/>
        <v>0</v>
      </c>
      <c r="Q238" s="99">
        <f t="shared" si="152"/>
        <v>0</v>
      </c>
      <c r="S238" s="40"/>
      <c r="AL238" s="40"/>
      <c r="AT238" s="40"/>
    </row>
    <row r="239" spans="1:46">
      <c r="A239" s="40"/>
      <c r="B239" s="99">
        <f>+B152-B68</f>
        <v>0</v>
      </c>
      <c r="C239" s="99">
        <f t="shared" si="152"/>
        <v>0</v>
      </c>
      <c r="D239" s="99">
        <f t="shared" si="152"/>
        <v>0</v>
      </c>
      <c r="E239" s="99">
        <f t="shared" si="152"/>
        <v>0</v>
      </c>
      <c r="F239" s="99">
        <f t="shared" si="152"/>
        <v>0</v>
      </c>
      <c r="G239" s="99">
        <f t="shared" si="152"/>
        <v>0</v>
      </c>
      <c r="H239" s="99">
        <f t="shared" si="152"/>
        <v>0</v>
      </c>
      <c r="I239" s="99">
        <f t="shared" si="152"/>
        <v>0</v>
      </c>
      <c r="J239" s="99">
        <f t="shared" si="152"/>
        <v>0</v>
      </c>
      <c r="K239" s="99">
        <f t="shared" si="152"/>
        <v>0</v>
      </c>
      <c r="L239" s="99">
        <f t="shared" si="152"/>
        <v>0</v>
      </c>
      <c r="M239" s="99">
        <f t="shared" si="152"/>
        <v>0</v>
      </c>
      <c r="N239" s="99">
        <f t="shared" si="152"/>
        <v>0</v>
      </c>
      <c r="O239" s="99">
        <f t="shared" si="152"/>
        <v>0</v>
      </c>
      <c r="P239" s="99">
        <f t="shared" si="152"/>
        <v>0</v>
      </c>
      <c r="Q239" s="99">
        <f t="shared" si="152"/>
        <v>0</v>
      </c>
      <c r="S239" s="40"/>
      <c r="AL239" s="40"/>
      <c r="AT239" s="40"/>
    </row>
    <row r="240" spans="1:46">
      <c r="A240" s="40"/>
      <c r="B240" s="99">
        <f t="shared" ref="B240:Q251" si="153">+B153-B69</f>
        <v>0</v>
      </c>
      <c r="C240" s="99">
        <f t="shared" si="153"/>
        <v>0</v>
      </c>
      <c r="D240" s="99">
        <f t="shared" si="153"/>
        <v>0</v>
      </c>
      <c r="E240" s="99">
        <f t="shared" si="153"/>
        <v>0</v>
      </c>
      <c r="F240" s="99">
        <f t="shared" si="153"/>
        <v>0</v>
      </c>
      <c r="G240" s="99">
        <f t="shared" si="153"/>
        <v>0</v>
      </c>
      <c r="H240" s="99">
        <f t="shared" si="153"/>
        <v>0</v>
      </c>
      <c r="I240" s="99">
        <f t="shared" si="153"/>
        <v>0</v>
      </c>
      <c r="J240" s="99">
        <f t="shared" si="153"/>
        <v>0</v>
      </c>
      <c r="K240" s="99">
        <f t="shared" si="153"/>
        <v>0</v>
      </c>
      <c r="L240" s="99">
        <f t="shared" si="153"/>
        <v>0</v>
      </c>
      <c r="M240" s="99">
        <f t="shared" si="153"/>
        <v>0</v>
      </c>
      <c r="N240" s="99">
        <f t="shared" si="153"/>
        <v>0</v>
      </c>
      <c r="O240" s="99">
        <f t="shared" si="153"/>
        <v>0</v>
      </c>
      <c r="P240" s="99">
        <f t="shared" si="153"/>
        <v>0</v>
      </c>
      <c r="Q240" s="99">
        <f t="shared" si="153"/>
        <v>0</v>
      </c>
      <c r="S240" s="40"/>
      <c r="AL240" s="40"/>
      <c r="AT240" s="40"/>
    </row>
    <row r="241" spans="1:46">
      <c r="A241" s="40"/>
      <c r="B241" s="99">
        <f t="shared" si="153"/>
        <v>0</v>
      </c>
      <c r="C241" s="99">
        <f t="shared" si="153"/>
        <v>0</v>
      </c>
      <c r="D241" s="99">
        <f t="shared" si="153"/>
        <v>0</v>
      </c>
      <c r="E241" s="99">
        <f t="shared" si="153"/>
        <v>0</v>
      </c>
      <c r="F241" s="99">
        <f t="shared" si="153"/>
        <v>0</v>
      </c>
      <c r="G241" s="99">
        <f t="shared" si="153"/>
        <v>0</v>
      </c>
      <c r="H241" s="99">
        <f t="shared" si="153"/>
        <v>0</v>
      </c>
      <c r="I241" s="99">
        <f t="shared" si="153"/>
        <v>0</v>
      </c>
      <c r="J241" s="99">
        <f t="shared" si="153"/>
        <v>0</v>
      </c>
      <c r="K241" s="99">
        <f t="shared" si="153"/>
        <v>0</v>
      </c>
      <c r="L241" s="99">
        <f t="shared" si="153"/>
        <v>0</v>
      </c>
      <c r="M241" s="99">
        <f t="shared" si="153"/>
        <v>0</v>
      </c>
      <c r="N241" s="99">
        <f t="shared" si="153"/>
        <v>0</v>
      </c>
      <c r="O241" s="99">
        <f t="shared" si="153"/>
        <v>0</v>
      </c>
      <c r="P241" s="99">
        <f t="shared" si="153"/>
        <v>0</v>
      </c>
      <c r="Q241" s="99">
        <f t="shared" si="153"/>
        <v>0</v>
      </c>
      <c r="S241" s="40"/>
      <c r="AL241" s="40"/>
      <c r="AT241" s="40"/>
    </row>
    <row r="242" spans="1:46">
      <c r="A242" s="40"/>
      <c r="B242" s="99">
        <f t="shared" si="153"/>
        <v>0</v>
      </c>
      <c r="C242" s="99">
        <f t="shared" si="153"/>
        <v>0</v>
      </c>
      <c r="D242" s="99">
        <f t="shared" si="153"/>
        <v>0</v>
      </c>
      <c r="E242" s="99">
        <f t="shared" si="153"/>
        <v>0</v>
      </c>
      <c r="F242" s="99">
        <f t="shared" si="153"/>
        <v>0</v>
      </c>
      <c r="G242" s="99">
        <f t="shared" si="153"/>
        <v>0</v>
      </c>
      <c r="H242" s="99">
        <f t="shared" si="153"/>
        <v>0</v>
      </c>
      <c r="I242" s="99">
        <f t="shared" si="153"/>
        <v>0</v>
      </c>
      <c r="J242" s="99">
        <f t="shared" si="153"/>
        <v>0</v>
      </c>
      <c r="K242" s="99">
        <f t="shared" si="153"/>
        <v>0</v>
      </c>
      <c r="L242" s="99">
        <f t="shared" si="153"/>
        <v>0</v>
      </c>
      <c r="M242" s="99">
        <f t="shared" si="153"/>
        <v>0</v>
      </c>
      <c r="N242" s="99">
        <f t="shared" si="153"/>
        <v>0</v>
      </c>
      <c r="O242" s="99">
        <f t="shared" si="153"/>
        <v>0</v>
      </c>
      <c r="P242" s="99">
        <f t="shared" si="153"/>
        <v>0</v>
      </c>
      <c r="Q242" s="99">
        <f t="shared" si="153"/>
        <v>0</v>
      </c>
      <c r="S242" s="40"/>
      <c r="AL242" s="40"/>
      <c r="AT242" s="40"/>
    </row>
    <row r="243" spans="1:46">
      <c r="A243" s="40"/>
      <c r="B243" s="99">
        <f t="shared" si="153"/>
        <v>0</v>
      </c>
      <c r="C243" s="99">
        <f t="shared" si="153"/>
        <v>0</v>
      </c>
      <c r="D243" s="99">
        <f t="shared" si="153"/>
        <v>0</v>
      </c>
      <c r="E243" s="99">
        <f t="shared" si="153"/>
        <v>0</v>
      </c>
      <c r="F243" s="99">
        <f t="shared" si="153"/>
        <v>0</v>
      </c>
      <c r="G243" s="99">
        <f t="shared" si="153"/>
        <v>0</v>
      </c>
      <c r="H243" s="99">
        <f t="shared" si="153"/>
        <v>0</v>
      </c>
      <c r="I243" s="99">
        <f t="shared" si="153"/>
        <v>0</v>
      </c>
      <c r="J243" s="99">
        <f t="shared" si="153"/>
        <v>0</v>
      </c>
      <c r="K243" s="99">
        <f t="shared" si="153"/>
        <v>0</v>
      </c>
      <c r="L243" s="99">
        <f t="shared" si="153"/>
        <v>0</v>
      </c>
      <c r="M243" s="99">
        <f t="shared" si="153"/>
        <v>0</v>
      </c>
      <c r="N243" s="99">
        <f t="shared" si="153"/>
        <v>0</v>
      </c>
      <c r="O243" s="99">
        <f t="shared" si="153"/>
        <v>0</v>
      </c>
      <c r="P243" s="99">
        <f t="shared" si="153"/>
        <v>0</v>
      </c>
      <c r="Q243" s="99">
        <f t="shared" si="153"/>
        <v>0</v>
      </c>
      <c r="S243" s="40"/>
      <c r="AL243" s="40"/>
      <c r="AT243" s="40"/>
    </row>
    <row r="244" spans="1:46">
      <c r="B244" s="99">
        <f t="shared" si="153"/>
        <v>0</v>
      </c>
      <c r="C244" s="99">
        <f t="shared" si="153"/>
        <v>0</v>
      </c>
      <c r="D244" s="99">
        <f t="shared" si="153"/>
        <v>0</v>
      </c>
      <c r="E244" s="99">
        <f t="shared" si="153"/>
        <v>0</v>
      </c>
      <c r="F244" s="99">
        <f t="shared" si="153"/>
        <v>0</v>
      </c>
      <c r="G244" s="99">
        <f t="shared" si="153"/>
        <v>0</v>
      </c>
      <c r="H244" s="99">
        <f t="shared" si="153"/>
        <v>0</v>
      </c>
      <c r="I244" s="99">
        <f t="shared" si="153"/>
        <v>0</v>
      </c>
      <c r="J244" s="99">
        <f t="shared" si="153"/>
        <v>0</v>
      </c>
      <c r="K244" s="99">
        <f t="shared" si="153"/>
        <v>0</v>
      </c>
      <c r="L244" s="99">
        <f t="shared" si="153"/>
        <v>0</v>
      </c>
      <c r="M244" s="99">
        <f t="shared" si="153"/>
        <v>0</v>
      </c>
      <c r="N244" s="99">
        <f t="shared" si="153"/>
        <v>0</v>
      </c>
      <c r="O244" s="99">
        <f t="shared" si="153"/>
        <v>0</v>
      </c>
      <c r="P244" s="99">
        <f t="shared" si="153"/>
        <v>0</v>
      </c>
      <c r="Q244" s="99">
        <f t="shared" si="153"/>
        <v>0</v>
      </c>
    </row>
    <row r="245" spans="1:46">
      <c r="B245" s="99">
        <f t="shared" si="153"/>
        <v>0</v>
      </c>
      <c r="C245" s="99">
        <f t="shared" si="153"/>
        <v>0</v>
      </c>
      <c r="D245" s="99">
        <f t="shared" si="153"/>
        <v>0</v>
      </c>
      <c r="E245" s="99">
        <f t="shared" si="153"/>
        <v>0</v>
      </c>
      <c r="F245" s="99">
        <f t="shared" si="153"/>
        <v>0</v>
      </c>
      <c r="G245" s="99">
        <f t="shared" si="153"/>
        <v>0</v>
      </c>
      <c r="H245" s="99">
        <f t="shared" si="153"/>
        <v>0</v>
      </c>
      <c r="I245" s="99">
        <f t="shared" si="153"/>
        <v>0</v>
      </c>
      <c r="J245" s="99">
        <f t="shared" si="153"/>
        <v>0</v>
      </c>
      <c r="K245" s="99">
        <f t="shared" si="153"/>
        <v>0</v>
      </c>
      <c r="L245" s="99">
        <f t="shared" si="153"/>
        <v>0</v>
      </c>
      <c r="M245" s="99">
        <f t="shared" si="153"/>
        <v>0</v>
      </c>
      <c r="N245" s="99">
        <f t="shared" si="153"/>
        <v>0</v>
      </c>
      <c r="O245" s="99">
        <f t="shared" si="153"/>
        <v>0</v>
      </c>
      <c r="P245" s="99">
        <f t="shared" si="153"/>
        <v>0</v>
      </c>
      <c r="Q245" s="99">
        <f t="shared" si="153"/>
        <v>0</v>
      </c>
    </row>
    <row r="246" spans="1:46">
      <c r="B246" s="99">
        <f t="shared" si="153"/>
        <v>0</v>
      </c>
      <c r="C246" s="99">
        <f t="shared" si="153"/>
        <v>0</v>
      </c>
      <c r="D246" s="99">
        <f t="shared" si="153"/>
        <v>0</v>
      </c>
      <c r="E246" s="99">
        <f t="shared" si="153"/>
        <v>0</v>
      </c>
      <c r="F246" s="99">
        <f t="shared" si="153"/>
        <v>0</v>
      </c>
      <c r="G246" s="99">
        <f t="shared" si="153"/>
        <v>0</v>
      </c>
      <c r="H246" s="99">
        <f t="shared" si="153"/>
        <v>0</v>
      </c>
      <c r="I246" s="99">
        <f t="shared" si="153"/>
        <v>0</v>
      </c>
      <c r="J246" s="99">
        <f t="shared" si="153"/>
        <v>0</v>
      </c>
      <c r="K246" s="99">
        <f t="shared" si="153"/>
        <v>0</v>
      </c>
      <c r="L246" s="99">
        <f t="shared" si="153"/>
        <v>0</v>
      </c>
      <c r="M246" s="99">
        <f t="shared" si="153"/>
        <v>0</v>
      </c>
      <c r="N246" s="99">
        <f t="shared" si="153"/>
        <v>0</v>
      </c>
      <c r="O246" s="99">
        <f t="shared" si="153"/>
        <v>0</v>
      </c>
      <c r="P246" s="99">
        <f t="shared" si="153"/>
        <v>0</v>
      </c>
      <c r="Q246" s="99">
        <f t="shared" si="153"/>
        <v>0</v>
      </c>
    </row>
    <row r="247" spans="1:46">
      <c r="B247" s="99">
        <f t="shared" si="153"/>
        <v>0</v>
      </c>
      <c r="C247" s="99">
        <f t="shared" si="153"/>
        <v>0</v>
      </c>
      <c r="D247" s="99">
        <f t="shared" si="153"/>
        <v>0</v>
      </c>
      <c r="E247" s="99">
        <f t="shared" si="153"/>
        <v>0</v>
      </c>
      <c r="F247" s="99">
        <f t="shared" si="153"/>
        <v>0</v>
      </c>
      <c r="G247" s="99">
        <f t="shared" si="153"/>
        <v>0</v>
      </c>
      <c r="H247" s="99">
        <f t="shared" si="153"/>
        <v>0</v>
      </c>
      <c r="I247" s="99">
        <f t="shared" si="153"/>
        <v>0</v>
      </c>
      <c r="J247" s="99">
        <f t="shared" si="153"/>
        <v>0</v>
      </c>
      <c r="K247" s="99">
        <f t="shared" si="153"/>
        <v>0</v>
      </c>
      <c r="L247" s="99">
        <f t="shared" si="153"/>
        <v>0</v>
      </c>
      <c r="M247" s="99">
        <f t="shared" si="153"/>
        <v>0</v>
      </c>
      <c r="N247" s="99">
        <f t="shared" si="153"/>
        <v>0</v>
      </c>
      <c r="O247" s="99">
        <f t="shared" si="153"/>
        <v>0</v>
      </c>
      <c r="P247" s="99">
        <f t="shared" si="153"/>
        <v>0</v>
      </c>
      <c r="Q247" s="99">
        <f t="shared" si="153"/>
        <v>0</v>
      </c>
    </row>
    <row r="248" spans="1:46">
      <c r="B248" s="99">
        <f t="shared" si="153"/>
        <v>0</v>
      </c>
      <c r="C248" s="99">
        <f t="shared" si="153"/>
        <v>0</v>
      </c>
      <c r="D248" s="99">
        <f t="shared" si="153"/>
        <v>0</v>
      </c>
      <c r="E248" s="99">
        <f t="shared" si="153"/>
        <v>0</v>
      </c>
      <c r="F248" s="99">
        <f t="shared" si="153"/>
        <v>0</v>
      </c>
      <c r="G248" s="99">
        <f t="shared" si="153"/>
        <v>0</v>
      </c>
      <c r="H248" s="99">
        <f t="shared" si="153"/>
        <v>0</v>
      </c>
      <c r="I248" s="99">
        <f t="shared" si="153"/>
        <v>0</v>
      </c>
      <c r="J248" s="99">
        <f t="shared" si="153"/>
        <v>0</v>
      </c>
      <c r="K248" s="99">
        <f t="shared" si="153"/>
        <v>0</v>
      </c>
      <c r="L248" s="99">
        <f t="shared" si="153"/>
        <v>0</v>
      </c>
      <c r="M248" s="99">
        <f t="shared" si="153"/>
        <v>0</v>
      </c>
      <c r="N248" s="99">
        <f t="shared" si="153"/>
        <v>0</v>
      </c>
      <c r="O248" s="99">
        <f t="shared" si="153"/>
        <v>0</v>
      </c>
      <c r="P248" s="99">
        <f t="shared" si="153"/>
        <v>0</v>
      </c>
      <c r="Q248" s="99">
        <f t="shared" si="153"/>
        <v>0</v>
      </c>
    </row>
    <row r="249" spans="1:46">
      <c r="B249" s="99">
        <f t="shared" si="153"/>
        <v>0</v>
      </c>
      <c r="C249" s="99">
        <f t="shared" si="153"/>
        <v>0</v>
      </c>
      <c r="D249" s="99">
        <f t="shared" si="153"/>
        <v>0</v>
      </c>
      <c r="E249" s="99">
        <f t="shared" si="153"/>
        <v>0</v>
      </c>
      <c r="F249" s="99">
        <f t="shared" si="153"/>
        <v>0</v>
      </c>
      <c r="G249" s="99">
        <f t="shared" si="153"/>
        <v>0</v>
      </c>
      <c r="H249" s="99">
        <f t="shared" si="153"/>
        <v>0</v>
      </c>
      <c r="I249" s="99">
        <f t="shared" si="153"/>
        <v>0</v>
      </c>
      <c r="J249" s="99">
        <f t="shared" si="153"/>
        <v>0</v>
      </c>
      <c r="K249" s="99">
        <f t="shared" si="153"/>
        <v>0</v>
      </c>
      <c r="L249" s="99">
        <f t="shared" si="153"/>
        <v>0</v>
      </c>
      <c r="M249" s="99">
        <f t="shared" si="153"/>
        <v>0</v>
      </c>
      <c r="N249" s="99">
        <f t="shared" si="153"/>
        <v>0</v>
      </c>
      <c r="O249" s="99">
        <f t="shared" si="153"/>
        <v>0</v>
      </c>
      <c r="P249" s="99">
        <f t="shared" si="153"/>
        <v>0</v>
      </c>
      <c r="Q249" s="99">
        <f t="shared" si="153"/>
        <v>0</v>
      </c>
    </row>
    <row r="250" spans="1:46">
      <c r="B250" s="99">
        <f t="shared" si="153"/>
        <v>0</v>
      </c>
      <c r="C250" s="99">
        <f t="shared" si="153"/>
        <v>0</v>
      </c>
      <c r="D250" s="99">
        <f t="shared" si="153"/>
        <v>0</v>
      </c>
      <c r="E250" s="99">
        <f t="shared" si="153"/>
        <v>0</v>
      </c>
      <c r="F250" s="99">
        <f t="shared" si="153"/>
        <v>0</v>
      </c>
      <c r="G250" s="99">
        <f t="shared" si="153"/>
        <v>0</v>
      </c>
      <c r="H250" s="99">
        <f t="shared" si="153"/>
        <v>0</v>
      </c>
      <c r="I250" s="99">
        <f t="shared" si="153"/>
        <v>0</v>
      </c>
      <c r="J250" s="99">
        <f t="shared" si="153"/>
        <v>0</v>
      </c>
      <c r="K250" s="99">
        <f t="shared" si="153"/>
        <v>0</v>
      </c>
      <c r="L250" s="99">
        <f t="shared" si="153"/>
        <v>0</v>
      </c>
      <c r="M250" s="99">
        <f t="shared" si="153"/>
        <v>0</v>
      </c>
      <c r="N250" s="99">
        <f t="shared" si="153"/>
        <v>0</v>
      </c>
      <c r="O250" s="99">
        <f t="shared" si="153"/>
        <v>0</v>
      </c>
      <c r="P250" s="99">
        <f t="shared" si="153"/>
        <v>0</v>
      </c>
      <c r="Q250" s="99">
        <f t="shared" si="153"/>
        <v>0</v>
      </c>
    </row>
    <row r="251" spans="1:46">
      <c r="B251" s="99">
        <f t="shared" si="153"/>
        <v>0</v>
      </c>
      <c r="C251" s="99">
        <f t="shared" si="153"/>
        <v>0</v>
      </c>
      <c r="D251" s="99">
        <f t="shared" si="153"/>
        <v>0</v>
      </c>
      <c r="E251" s="99">
        <f t="shared" si="153"/>
        <v>0</v>
      </c>
      <c r="F251" s="99">
        <f t="shared" si="153"/>
        <v>0</v>
      </c>
      <c r="G251" s="99">
        <f t="shared" si="153"/>
        <v>0</v>
      </c>
      <c r="H251" s="99">
        <f t="shared" si="153"/>
        <v>0</v>
      </c>
      <c r="I251" s="99">
        <f t="shared" si="153"/>
        <v>0</v>
      </c>
      <c r="J251" s="99">
        <f t="shared" si="153"/>
        <v>0</v>
      </c>
      <c r="K251" s="99">
        <f t="shared" si="153"/>
        <v>0</v>
      </c>
      <c r="L251" s="99">
        <f t="shared" si="153"/>
        <v>0</v>
      </c>
      <c r="M251" s="99">
        <f t="shared" si="153"/>
        <v>0</v>
      </c>
      <c r="N251" s="99">
        <f t="shared" si="153"/>
        <v>0</v>
      </c>
      <c r="O251" s="99">
        <f t="shared" si="153"/>
        <v>0</v>
      </c>
      <c r="P251" s="99">
        <f t="shared" si="153"/>
        <v>0</v>
      </c>
      <c r="Q251" s="99">
        <f t="shared" si="153"/>
        <v>0</v>
      </c>
    </row>
    <row r="252" spans="1:46">
      <c r="B252" s="99">
        <f>+B165-B81</f>
        <v>0</v>
      </c>
      <c r="C252" s="99">
        <f t="shared" ref="C252:Q252" si="154">+C165-C81</f>
        <v>0</v>
      </c>
      <c r="D252" s="99">
        <f t="shared" si="154"/>
        <v>0</v>
      </c>
      <c r="E252" s="99">
        <f t="shared" si="154"/>
        <v>0</v>
      </c>
      <c r="F252" s="99">
        <f t="shared" si="154"/>
        <v>0</v>
      </c>
      <c r="G252" s="99">
        <f t="shared" si="154"/>
        <v>0</v>
      </c>
      <c r="H252" s="99">
        <f t="shared" si="154"/>
        <v>0</v>
      </c>
      <c r="I252" s="99">
        <f t="shared" si="154"/>
        <v>0</v>
      </c>
      <c r="J252" s="99">
        <f t="shared" si="154"/>
        <v>0</v>
      </c>
      <c r="K252" s="99">
        <f t="shared" si="154"/>
        <v>0</v>
      </c>
      <c r="L252" s="99">
        <f t="shared" si="154"/>
        <v>0</v>
      </c>
      <c r="M252" s="99">
        <f t="shared" si="154"/>
        <v>0</v>
      </c>
      <c r="N252" s="99">
        <f t="shared" si="154"/>
        <v>0</v>
      </c>
      <c r="O252" s="99">
        <f t="shared" si="154"/>
        <v>0</v>
      </c>
      <c r="P252" s="99">
        <f t="shared" si="154"/>
        <v>0</v>
      </c>
      <c r="Q252" s="99">
        <f t="shared" si="154"/>
        <v>0</v>
      </c>
    </row>
    <row r="253" spans="1:46">
      <c r="B253" s="99">
        <f t="shared" ref="B253:Q256" si="155">+B166-B82</f>
        <v>0</v>
      </c>
      <c r="C253" s="99">
        <f t="shared" si="155"/>
        <v>0</v>
      </c>
      <c r="D253" s="99">
        <f t="shared" si="155"/>
        <v>0</v>
      </c>
      <c r="E253" s="99">
        <f t="shared" si="155"/>
        <v>0</v>
      </c>
      <c r="F253" s="99">
        <f t="shared" si="155"/>
        <v>0</v>
      </c>
      <c r="G253" s="99">
        <f t="shared" si="155"/>
        <v>0</v>
      </c>
      <c r="H253" s="99">
        <f t="shared" si="155"/>
        <v>0</v>
      </c>
      <c r="I253" s="99">
        <f t="shared" si="155"/>
        <v>0</v>
      </c>
      <c r="J253" s="99">
        <f t="shared" si="155"/>
        <v>0</v>
      </c>
      <c r="K253" s="99">
        <f t="shared" si="155"/>
        <v>0</v>
      </c>
      <c r="L253" s="99">
        <f t="shared" si="155"/>
        <v>0</v>
      </c>
      <c r="M253" s="99">
        <f t="shared" si="155"/>
        <v>0</v>
      </c>
      <c r="N253" s="99">
        <f t="shared" si="155"/>
        <v>0</v>
      </c>
      <c r="O253" s="99">
        <f t="shared" si="155"/>
        <v>0</v>
      </c>
      <c r="P253" s="99">
        <f t="shared" si="155"/>
        <v>0</v>
      </c>
      <c r="Q253" s="99">
        <f t="shared" si="155"/>
        <v>0</v>
      </c>
    </row>
    <row r="254" spans="1:46">
      <c r="B254" s="99">
        <f t="shared" si="155"/>
        <v>0</v>
      </c>
      <c r="C254" s="99">
        <f t="shared" si="155"/>
        <v>0</v>
      </c>
      <c r="D254" s="99">
        <f t="shared" si="155"/>
        <v>0</v>
      </c>
      <c r="E254" s="99">
        <f t="shared" si="155"/>
        <v>0</v>
      </c>
      <c r="F254" s="99">
        <f t="shared" si="155"/>
        <v>0</v>
      </c>
      <c r="G254" s="99">
        <f t="shared" si="155"/>
        <v>0</v>
      </c>
      <c r="H254" s="99">
        <f t="shared" si="155"/>
        <v>0</v>
      </c>
      <c r="I254" s="99">
        <f t="shared" si="155"/>
        <v>0</v>
      </c>
      <c r="J254" s="99">
        <f t="shared" si="155"/>
        <v>0</v>
      </c>
      <c r="K254" s="99">
        <f t="shared" si="155"/>
        <v>0</v>
      </c>
      <c r="L254" s="99">
        <f t="shared" si="155"/>
        <v>0</v>
      </c>
      <c r="M254" s="99">
        <f t="shared" si="155"/>
        <v>0</v>
      </c>
      <c r="N254" s="99">
        <f t="shared" si="155"/>
        <v>0</v>
      </c>
      <c r="O254" s="99">
        <f t="shared" si="155"/>
        <v>0</v>
      </c>
      <c r="P254" s="99">
        <f t="shared" si="155"/>
        <v>0</v>
      </c>
      <c r="Q254" s="99">
        <f t="shared" si="155"/>
        <v>0</v>
      </c>
    </row>
    <row r="255" spans="1:46">
      <c r="B255" s="99">
        <f t="shared" si="155"/>
        <v>0</v>
      </c>
      <c r="C255" s="99">
        <f t="shared" si="155"/>
        <v>0</v>
      </c>
      <c r="D255" s="99">
        <f t="shared" si="155"/>
        <v>0</v>
      </c>
      <c r="E255" s="99">
        <f t="shared" si="155"/>
        <v>0</v>
      </c>
      <c r="F255" s="99">
        <f t="shared" si="155"/>
        <v>0</v>
      </c>
      <c r="G255" s="99">
        <f t="shared" si="155"/>
        <v>0</v>
      </c>
      <c r="H255" s="99">
        <f t="shared" si="155"/>
        <v>0</v>
      </c>
      <c r="I255" s="99">
        <f t="shared" si="155"/>
        <v>0</v>
      </c>
      <c r="J255" s="99">
        <f t="shared" si="155"/>
        <v>0</v>
      </c>
      <c r="K255" s="99">
        <f t="shared" si="155"/>
        <v>0</v>
      </c>
      <c r="L255" s="99">
        <f t="shared" si="155"/>
        <v>0</v>
      </c>
      <c r="M255" s="99">
        <f t="shared" si="155"/>
        <v>0</v>
      </c>
      <c r="N255" s="99">
        <f t="shared" si="155"/>
        <v>0</v>
      </c>
      <c r="O255" s="99">
        <f t="shared" si="155"/>
        <v>0</v>
      </c>
      <c r="P255" s="99">
        <f t="shared" si="155"/>
        <v>0</v>
      </c>
      <c r="Q255" s="99">
        <f t="shared" si="155"/>
        <v>0</v>
      </c>
    </row>
    <row r="256" spans="1:46">
      <c r="B256" s="99">
        <f t="shared" si="155"/>
        <v>0</v>
      </c>
      <c r="C256" s="99">
        <f t="shared" si="155"/>
        <v>0</v>
      </c>
      <c r="D256" s="99">
        <f t="shared" si="155"/>
        <v>0</v>
      </c>
      <c r="E256" s="99">
        <f t="shared" si="155"/>
        <v>0</v>
      </c>
      <c r="F256" s="99">
        <f t="shared" si="155"/>
        <v>0</v>
      </c>
      <c r="G256" s="99">
        <f t="shared" si="155"/>
        <v>0</v>
      </c>
      <c r="H256" s="99">
        <f t="shared" si="155"/>
        <v>0</v>
      </c>
      <c r="I256" s="99">
        <f t="shared" si="155"/>
        <v>0</v>
      </c>
      <c r="J256" s="99">
        <f t="shared" si="155"/>
        <v>0</v>
      </c>
      <c r="K256" s="99">
        <f t="shared" si="155"/>
        <v>0</v>
      </c>
      <c r="L256" s="99">
        <f t="shared" si="155"/>
        <v>0</v>
      </c>
      <c r="M256" s="99">
        <f t="shared" si="155"/>
        <v>0</v>
      </c>
      <c r="N256" s="99">
        <f t="shared" si="155"/>
        <v>0</v>
      </c>
      <c r="O256" s="99">
        <f t="shared" si="155"/>
        <v>0</v>
      </c>
      <c r="P256" s="99">
        <f t="shared" si="155"/>
        <v>0</v>
      </c>
      <c r="Q256" s="99">
        <f t="shared" si="155"/>
        <v>0</v>
      </c>
    </row>
  </sheetData>
  <phoneticPr fontId="3" type="noConversion"/>
  <pageMargins left="0.75" right="0.75" top="1" bottom="1" header="0.5" footer="0.5"/>
  <pageSetup paperSize="9" orientation="portrait" horizontalDpi="300" verticalDpi="300" r:id="rId1"/>
  <headerFooter alignWithMargins="0"/>
  <legacyDrawing r:id="rId2"/>
</worksheet>
</file>

<file path=xl/worksheets/sheet6.xml><?xml version="1.0" encoding="utf-8"?>
<worksheet xmlns="http://schemas.openxmlformats.org/spreadsheetml/2006/main" xmlns:r="http://schemas.openxmlformats.org/officeDocument/2006/relationships">
  <sheetPr codeName="Sheet10" enableFormatConditionsCalculation="0">
    <tabColor indexed="43"/>
  </sheetPr>
  <dimension ref="A1:BW262"/>
  <sheetViews>
    <sheetView topLeftCell="A37" zoomScale="70" workbookViewId="0">
      <selection activeCell="A82" sqref="A82"/>
    </sheetView>
  </sheetViews>
  <sheetFormatPr defaultRowHeight="12.75"/>
  <cols>
    <col min="1" max="1" width="39.28515625" style="73" bestFit="1" customWidth="1"/>
    <col min="2" max="2" width="16.28515625" style="73" customWidth="1"/>
    <col min="3" max="3" width="19.42578125" style="73" bestFit="1" customWidth="1"/>
    <col min="4" max="5" width="16.5703125" style="73" customWidth="1"/>
    <col min="6" max="7" width="16.5703125" style="73" bestFit="1" customWidth="1"/>
    <col min="8" max="10" width="17.7109375" style="73" bestFit="1" customWidth="1"/>
    <col min="11" max="12" width="15" style="73" customWidth="1"/>
    <col min="13" max="13" width="14" style="73" bestFit="1" customWidth="1"/>
    <col min="14" max="15" width="15" style="73" customWidth="1"/>
    <col min="16" max="16" width="15" style="73" bestFit="1" customWidth="1"/>
    <col min="17" max="18" width="15" style="73" customWidth="1"/>
    <col min="19" max="19" width="17.7109375" style="73" bestFit="1" customWidth="1"/>
    <col min="20" max="20" width="17.85546875" style="73" bestFit="1" customWidth="1"/>
    <col min="21" max="21" width="40.5703125" style="73" customWidth="1"/>
    <col min="22" max="22" width="19.140625" style="73" customWidth="1"/>
    <col min="23" max="24" width="17.7109375" style="73" bestFit="1" customWidth="1"/>
    <col min="25" max="26" width="15.140625" style="73" bestFit="1" customWidth="1"/>
    <col min="27" max="27" width="15.28515625" style="73" bestFit="1" customWidth="1"/>
    <col min="28" max="28" width="14.42578125" style="73" bestFit="1" customWidth="1"/>
    <col min="29" max="29" width="14.28515625" style="73" bestFit="1" customWidth="1"/>
    <col min="30" max="31" width="14.140625" style="73" bestFit="1" customWidth="1"/>
    <col min="32" max="32" width="13.140625" style="73" bestFit="1" customWidth="1"/>
    <col min="33" max="33" width="14" style="73" bestFit="1" customWidth="1"/>
    <col min="34" max="38" width="14.140625" style="73" bestFit="1" customWidth="1"/>
    <col min="39" max="39" width="9.140625" style="73"/>
    <col min="40" max="40" width="29" style="73" customWidth="1"/>
    <col min="41" max="43" width="9.140625" style="73"/>
    <col min="44" max="44" width="11.5703125" style="73" bestFit="1" customWidth="1"/>
    <col min="45" max="45" width="11.42578125" style="73" bestFit="1" customWidth="1"/>
    <col min="46" max="46" width="14.140625" style="73" bestFit="1" customWidth="1"/>
    <col min="47" max="48" width="12.5703125" style="73" bestFit="1" customWidth="1"/>
    <col min="49" max="57" width="9.140625" style="73"/>
    <col min="58" max="58" width="44.140625" style="73" customWidth="1"/>
    <col min="59" max="59" width="16.85546875" style="73" bestFit="1" customWidth="1"/>
    <col min="60" max="60" width="15.28515625" style="73" bestFit="1" customWidth="1"/>
    <col min="61" max="61" width="15.140625" style="73" bestFit="1" customWidth="1"/>
    <col min="62" max="62" width="16.85546875" style="73" bestFit="1" customWidth="1"/>
    <col min="63" max="63" width="15.28515625" style="73" bestFit="1" customWidth="1"/>
    <col min="64" max="65" width="16.85546875" style="73" bestFit="1" customWidth="1"/>
    <col min="66" max="66" width="15.28515625" style="73" bestFit="1" customWidth="1"/>
    <col min="67" max="75" width="14.42578125" style="73" customWidth="1"/>
    <col min="76" max="16384" width="9.140625" style="73"/>
  </cols>
  <sheetData>
    <row r="1" spans="1:26">
      <c r="A1" s="198" t="s">
        <v>998</v>
      </c>
      <c r="B1" s="198"/>
      <c r="C1" s="199" t="s">
        <v>742</v>
      </c>
      <c r="D1" s="199" t="s">
        <v>743</v>
      </c>
      <c r="E1" s="199" t="s">
        <v>744</v>
      </c>
      <c r="F1" s="199" t="s">
        <v>745</v>
      </c>
      <c r="G1" s="199" t="s">
        <v>746</v>
      </c>
      <c r="H1" s="199" t="s">
        <v>747</v>
      </c>
      <c r="I1" s="199" t="s">
        <v>748</v>
      </c>
      <c r="J1" s="199" t="s">
        <v>749</v>
      </c>
      <c r="K1" s="199" t="s">
        <v>750</v>
      </c>
      <c r="L1" s="199" t="s">
        <v>751</v>
      </c>
      <c r="M1" s="199" t="s">
        <v>752</v>
      </c>
      <c r="N1" s="199" t="s">
        <v>753</v>
      </c>
      <c r="O1" s="199" t="s">
        <v>754</v>
      </c>
      <c r="P1" s="199" t="s">
        <v>755</v>
      </c>
      <c r="Q1" s="199" t="s">
        <v>756</v>
      </c>
      <c r="R1" s="199" t="s">
        <v>757</v>
      </c>
      <c r="S1" s="199" t="s">
        <v>758</v>
      </c>
      <c r="U1" s="220" t="s">
        <v>760</v>
      </c>
      <c r="V1" s="226" t="s">
        <v>761</v>
      </c>
      <c r="W1" s="223" t="s">
        <v>762</v>
      </c>
      <c r="X1" s="223" t="s">
        <v>763</v>
      </c>
      <c r="Y1" s="223" t="s">
        <v>764</v>
      </c>
      <c r="Z1" s="224" t="s">
        <v>138</v>
      </c>
    </row>
    <row r="2" spans="1:26">
      <c r="A2" s="198" t="s">
        <v>847</v>
      </c>
      <c r="B2" s="198" t="s">
        <v>991</v>
      </c>
      <c r="C2" s="198" t="s">
        <v>662</v>
      </c>
      <c r="D2" s="198" t="s">
        <v>662</v>
      </c>
      <c r="E2" s="198" t="s">
        <v>662</v>
      </c>
      <c r="F2" s="198" t="s">
        <v>662</v>
      </c>
      <c r="G2" s="198" t="s">
        <v>662</v>
      </c>
      <c r="H2" s="198" t="s">
        <v>662</v>
      </c>
      <c r="I2" s="198" t="s">
        <v>662</v>
      </c>
      <c r="J2" s="198" t="s">
        <v>662</v>
      </c>
      <c r="K2" s="198" t="s">
        <v>662</v>
      </c>
      <c r="L2" s="198" t="s">
        <v>662</v>
      </c>
      <c r="M2" s="198" t="s">
        <v>662</v>
      </c>
      <c r="N2" s="198" t="s">
        <v>662</v>
      </c>
      <c r="O2" s="198" t="s">
        <v>662</v>
      </c>
      <c r="P2" s="198" t="s">
        <v>662</v>
      </c>
      <c r="Q2" s="198" t="s">
        <v>662</v>
      </c>
      <c r="R2" s="198" t="s">
        <v>662</v>
      </c>
      <c r="S2" s="198" t="s">
        <v>662</v>
      </c>
      <c r="V2" s="233" t="s">
        <v>662</v>
      </c>
      <c r="W2" s="231" t="s">
        <v>662</v>
      </c>
      <c r="X2" s="231" t="s">
        <v>662</v>
      </c>
      <c r="Y2" s="231" t="s">
        <v>662</v>
      </c>
      <c r="Z2" s="232" t="s">
        <v>662</v>
      </c>
    </row>
    <row r="3" spans="1:26">
      <c r="A3" s="205">
        <v>39239</v>
      </c>
      <c r="B3" s="198" t="b">
        <v>1</v>
      </c>
      <c r="C3" s="76">
        <v>2100000000</v>
      </c>
      <c r="D3" s="76">
        <v>454500000</v>
      </c>
      <c r="E3" s="76">
        <v>149300000</v>
      </c>
      <c r="F3" s="76">
        <v>1813500000</v>
      </c>
      <c r="G3" s="76">
        <v>500000000</v>
      </c>
      <c r="H3" s="76">
        <v>2429000000</v>
      </c>
      <c r="I3" s="76">
        <v>1146000000</v>
      </c>
      <c r="J3" s="76">
        <v>768500000</v>
      </c>
      <c r="K3" s="76">
        <v>86000000</v>
      </c>
      <c r="L3" s="76">
        <v>140000000</v>
      </c>
      <c r="M3" s="76">
        <v>20000000</v>
      </c>
      <c r="N3" s="76">
        <v>65000000</v>
      </c>
      <c r="O3" s="76">
        <v>95100000</v>
      </c>
      <c r="P3" s="76">
        <v>40000000</v>
      </c>
      <c r="Q3" s="76">
        <v>45000000</v>
      </c>
      <c r="R3" s="76">
        <v>190900000</v>
      </c>
      <c r="S3" s="76">
        <v>22000000</v>
      </c>
      <c r="T3" s="76">
        <v>679000000</v>
      </c>
      <c r="V3" s="206">
        <f t="shared" ref="V3:V34" si="0">SUM(C3:J3)</f>
        <v>9360800000</v>
      </c>
      <c r="W3" s="208">
        <f t="shared" ref="W3:W34" si="1">SUM(K3:M3)</f>
        <v>246000000</v>
      </c>
      <c r="X3" s="208">
        <f t="shared" ref="X3:X34" si="2">SUM(N3:P3)</f>
        <v>200100000</v>
      </c>
      <c r="Y3" s="208">
        <f t="shared" ref="Y3:Y34" si="3">SUM(Q3:S3)</f>
        <v>257900000</v>
      </c>
      <c r="Z3" s="246">
        <f t="shared" ref="Z3:Z34" si="4">SUM(V3:Y3)</f>
        <v>10064800000</v>
      </c>
    </row>
    <row r="4" spans="1:26">
      <c r="A4" s="205">
        <v>39253</v>
      </c>
      <c r="B4" s="210" t="b">
        <f t="shared" ref="B4:B35" si="5">MOD(MONTH(A4),3)=2</f>
        <v>0</v>
      </c>
      <c r="C4" s="76">
        <v>2100000000</v>
      </c>
      <c r="D4" s="76">
        <v>454500000</v>
      </c>
      <c r="E4" s="76">
        <v>149300000</v>
      </c>
      <c r="F4" s="76">
        <v>1813500000</v>
      </c>
      <c r="G4" s="76">
        <v>500000000</v>
      </c>
      <c r="H4" s="76">
        <v>2429000000</v>
      </c>
      <c r="I4" s="76">
        <v>1146000000</v>
      </c>
      <c r="J4" s="76">
        <v>768500000</v>
      </c>
      <c r="K4" s="76">
        <v>86000000</v>
      </c>
      <c r="L4" s="76">
        <v>140000000</v>
      </c>
      <c r="M4" s="76">
        <v>20000000</v>
      </c>
      <c r="N4" s="76">
        <v>65000000</v>
      </c>
      <c r="O4" s="76">
        <v>95100000</v>
      </c>
      <c r="P4" s="76">
        <v>40000000</v>
      </c>
      <c r="Q4" s="76">
        <v>45000000</v>
      </c>
      <c r="R4" s="76">
        <v>190900000</v>
      </c>
      <c r="S4" s="76">
        <v>22000000</v>
      </c>
      <c r="T4" s="267">
        <f>T3*H4/H3</f>
        <v>679000000</v>
      </c>
      <c r="V4" s="206">
        <f t="shared" si="0"/>
        <v>9360800000</v>
      </c>
      <c r="W4" s="208">
        <f t="shared" si="1"/>
        <v>246000000</v>
      </c>
      <c r="X4" s="208">
        <f t="shared" si="2"/>
        <v>200100000</v>
      </c>
      <c r="Y4" s="208">
        <f t="shared" si="3"/>
        <v>257900000</v>
      </c>
      <c r="Z4" s="246">
        <f t="shared" si="4"/>
        <v>10064800000</v>
      </c>
    </row>
    <row r="5" spans="1:26">
      <c r="A5" s="205">
        <v>39283</v>
      </c>
      <c r="B5" s="210" t="b">
        <f t="shared" si="5"/>
        <v>0</v>
      </c>
      <c r="C5" s="76">
        <v>2100000000</v>
      </c>
      <c r="D5" s="76">
        <v>454500000</v>
      </c>
      <c r="E5" s="76">
        <v>149300000</v>
      </c>
      <c r="F5" s="76">
        <v>1813500000</v>
      </c>
      <c r="G5" s="76">
        <v>500000000</v>
      </c>
      <c r="H5" s="76">
        <v>2429000000</v>
      </c>
      <c r="I5" s="76">
        <v>1146000000</v>
      </c>
      <c r="J5" s="76">
        <v>768500000</v>
      </c>
      <c r="K5" s="76">
        <v>86000000</v>
      </c>
      <c r="L5" s="76">
        <v>140000000</v>
      </c>
      <c r="M5" s="76">
        <v>20000000</v>
      </c>
      <c r="N5" s="76">
        <v>65000000</v>
      </c>
      <c r="O5" s="76">
        <v>95100000</v>
      </c>
      <c r="P5" s="76">
        <v>40000000</v>
      </c>
      <c r="Q5" s="76">
        <v>45000000</v>
      </c>
      <c r="R5" s="76">
        <v>190900000</v>
      </c>
      <c r="S5" s="76">
        <v>22000000</v>
      </c>
      <c r="T5" s="267">
        <f>T4*H5/H4</f>
        <v>679000000</v>
      </c>
      <c r="V5" s="206">
        <f t="shared" si="0"/>
        <v>9360800000</v>
      </c>
      <c r="W5" s="208">
        <f t="shared" si="1"/>
        <v>246000000</v>
      </c>
      <c r="X5" s="208">
        <f t="shared" si="2"/>
        <v>200100000</v>
      </c>
      <c r="Y5" s="208">
        <f t="shared" si="3"/>
        <v>257900000</v>
      </c>
      <c r="Z5" s="246">
        <f t="shared" si="4"/>
        <v>10064800000</v>
      </c>
    </row>
    <row r="6" spans="1:26">
      <c r="A6" s="205">
        <v>39314</v>
      </c>
      <c r="B6" s="210" t="b">
        <f t="shared" si="5"/>
        <v>1</v>
      </c>
      <c r="C6" s="76">
        <v>1946741801.7265048</v>
      </c>
      <c r="D6" s="76">
        <v>421330547.08795071</v>
      </c>
      <c r="E6" s="76">
        <v>138404071.90369865</v>
      </c>
      <c r="F6" s="76">
        <v>1813500000</v>
      </c>
      <c r="G6" s="76">
        <v>500000000</v>
      </c>
      <c r="H6" s="76">
        <v>2429000000</v>
      </c>
      <c r="I6" s="76">
        <v>1146000000</v>
      </c>
      <c r="J6" s="76">
        <v>768500000</v>
      </c>
      <c r="K6" s="76">
        <v>86000000</v>
      </c>
      <c r="L6" s="76">
        <v>140000000</v>
      </c>
      <c r="M6" s="76">
        <v>20000000</v>
      </c>
      <c r="N6" s="76">
        <v>65000000</v>
      </c>
      <c r="O6" s="76">
        <v>95100000</v>
      </c>
      <c r="P6" s="76">
        <v>40000000</v>
      </c>
      <c r="Q6" s="76">
        <v>45000000</v>
      </c>
      <c r="R6" s="76">
        <v>190900000</v>
      </c>
      <c r="S6" s="76">
        <v>22000000</v>
      </c>
      <c r="T6" s="267">
        <f>T5*H6/H5</f>
        <v>679000000</v>
      </c>
      <c r="V6" s="206">
        <f t="shared" si="0"/>
        <v>9163476420.7181549</v>
      </c>
      <c r="W6" s="208">
        <f t="shared" si="1"/>
        <v>246000000</v>
      </c>
      <c r="X6" s="208">
        <f t="shared" si="2"/>
        <v>200100000</v>
      </c>
      <c r="Y6" s="208">
        <f t="shared" si="3"/>
        <v>257900000</v>
      </c>
      <c r="Z6" s="246">
        <f t="shared" si="4"/>
        <v>9867476420.7181549</v>
      </c>
    </row>
    <row r="7" spans="1:26">
      <c r="A7" s="205">
        <v>39345</v>
      </c>
      <c r="B7" s="210" t="b">
        <f t="shared" si="5"/>
        <v>0</v>
      </c>
      <c r="C7" s="76">
        <v>1946741801.7265048</v>
      </c>
      <c r="D7" s="76">
        <v>421330547.08795071</v>
      </c>
      <c r="E7" s="76">
        <v>138404071.90369865</v>
      </c>
      <c r="F7" s="76">
        <v>1813500000</v>
      </c>
      <c r="G7" s="76">
        <v>500000000</v>
      </c>
      <c r="H7" s="76">
        <v>2429000000</v>
      </c>
      <c r="I7" s="76">
        <v>1146000000</v>
      </c>
      <c r="J7" s="76">
        <v>768500000</v>
      </c>
      <c r="K7" s="76">
        <v>86000000</v>
      </c>
      <c r="L7" s="76">
        <v>140000000</v>
      </c>
      <c r="M7" s="76">
        <v>20000000</v>
      </c>
      <c r="N7" s="76">
        <v>65000000</v>
      </c>
      <c r="O7" s="76">
        <v>95100000</v>
      </c>
      <c r="P7" s="76">
        <v>40000000</v>
      </c>
      <c r="Q7" s="76">
        <v>45000000</v>
      </c>
      <c r="R7" s="76">
        <v>190900000</v>
      </c>
      <c r="S7" s="76">
        <v>22000000</v>
      </c>
      <c r="T7" s="267">
        <f t="shared" ref="T7:T65" si="6">T6*H7/H6</f>
        <v>679000000</v>
      </c>
      <c r="V7" s="206">
        <f t="shared" si="0"/>
        <v>9163476420.7181549</v>
      </c>
      <c r="W7" s="208">
        <f t="shared" si="1"/>
        <v>246000000</v>
      </c>
      <c r="X7" s="208">
        <f t="shared" si="2"/>
        <v>200100000</v>
      </c>
      <c r="Y7" s="208">
        <f t="shared" si="3"/>
        <v>257900000</v>
      </c>
      <c r="Z7" s="246">
        <f t="shared" si="4"/>
        <v>9867476420.7181549</v>
      </c>
    </row>
    <row r="8" spans="1:26">
      <c r="A8" s="205">
        <v>39375</v>
      </c>
      <c r="B8" s="210" t="b">
        <f t="shared" si="5"/>
        <v>0</v>
      </c>
      <c r="C8" s="76">
        <v>1946741801.7265048</v>
      </c>
      <c r="D8" s="76">
        <v>421330547.08795071</v>
      </c>
      <c r="E8" s="76">
        <v>138404071.90369865</v>
      </c>
      <c r="F8" s="76">
        <v>1813500000</v>
      </c>
      <c r="G8" s="76">
        <v>500000000</v>
      </c>
      <c r="H8" s="76">
        <v>2429000000</v>
      </c>
      <c r="I8" s="76">
        <v>1146000000</v>
      </c>
      <c r="J8" s="76">
        <v>768500000</v>
      </c>
      <c r="K8" s="76">
        <v>86000000</v>
      </c>
      <c r="L8" s="76">
        <v>140000000</v>
      </c>
      <c r="M8" s="76">
        <v>20000000</v>
      </c>
      <c r="N8" s="76">
        <v>65000000</v>
      </c>
      <c r="O8" s="76">
        <v>95100000</v>
      </c>
      <c r="P8" s="76">
        <v>40000000</v>
      </c>
      <c r="Q8" s="76">
        <v>45000000</v>
      </c>
      <c r="R8" s="76">
        <v>190900000</v>
      </c>
      <c r="S8" s="76">
        <v>22000000</v>
      </c>
      <c r="T8" s="267">
        <f t="shared" si="6"/>
        <v>679000000</v>
      </c>
      <c r="V8" s="206">
        <f t="shared" si="0"/>
        <v>9163476420.7181549</v>
      </c>
      <c r="W8" s="208">
        <f t="shared" si="1"/>
        <v>246000000</v>
      </c>
      <c r="X8" s="208">
        <f t="shared" si="2"/>
        <v>200100000</v>
      </c>
      <c r="Y8" s="208">
        <f t="shared" si="3"/>
        <v>257900000</v>
      </c>
      <c r="Z8" s="246">
        <f t="shared" si="4"/>
        <v>9867476420.7181549</v>
      </c>
    </row>
    <row r="9" spans="1:26">
      <c r="A9" s="205">
        <v>39406</v>
      </c>
      <c r="B9" s="210" t="b">
        <f t="shared" si="5"/>
        <v>1</v>
      </c>
      <c r="C9" s="76">
        <v>1503701374.114661</v>
      </c>
      <c r="D9" s="76">
        <v>325443940.25481588</v>
      </c>
      <c r="E9" s="76">
        <v>106906007.21681851</v>
      </c>
      <c r="F9" s="76">
        <v>1813500000</v>
      </c>
      <c r="G9" s="76">
        <v>500000000</v>
      </c>
      <c r="H9" s="76">
        <v>2429000000</v>
      </c>
      <c r="I9" s="76">
        <v>1146000000</v>
      </c>
      <c r="J9" s="76">
        <v>768500000</v>
      </c>
      <c r="K9" s="76">
        <v>86000000</v>
      </c>
      <c r="L9" s="76">
        <v>140000000</v>
      </c>
      <c r="M9" s="76">
        <v>20000000</v>
      </c>
      <c r="N9" s="76">
        <v>65000000</v>
      </c>
      <c r="O9" s="76">
        <v>95100000</v>
      </c>
      <c r="P9" s="76">
        <v>40000000</v>
      </c>
      <c r="Q9" s="76">
        <v>45000000</v>
      </c>
      <c r="R9" s="76">
        <v>190900000</v>
      </c>
      <c r="S9" s="76">
        <v>22000000</v>
      </c>
      <c r="T9" s="267">
        <f t="shared" si="6"/>
        <v>679000000</v>
      </c>
      <c r="V9" s="206">
        <f t="shared" si="0"/>
        <v>8593051321.5862961</v>
      </c>
      <c r="W9" s="208">
        <f t="shared" si="1"/>
        <v>246000000</v>
      </c>
      <c r="X9" s="208">
        <f t="shared" si="2"/>
        <v>200100000</v>
      </c>
      <c r="Y9" s="208">
        <f t="shared" si="3"/>
        <v>257900000</v>
      </c>
      <c r="Z9" s="246">
        <f t="shared" si="4"/>
        <v>9297051321.5862961</v>
      </c>
    </row>
    <row r="10" spans="1:26">
      <c r="A10" s="205">
        <v>39436</v>
      </c>
      <c r="B10" s="210" t="b">
        <f t="shared" si="5"/>
        <v>0</v>
      </c>
      <c r="C10" s="76">
        <v>1503701374.114661</v>
      </c>
      <c r="D10" s="76">
        <v>325443940.25481588</v>
      </c>
      <c r="E10" s="76">
        <v>106906007.21681851</v>
      </c>
      <c r="F10" s="76">
        <v>1813500000</v>
      </c>
      <c r="G10" s="76">
        <v>500000000</v>
      </c>
      <c r="H10" s="76">
        <v>2429000000</v>
      </c>
      <c r="I10" s="76">
        <v>1146000000</v>
      </c>
      <c r="J10" s="76">
        <v>768500000</v>
      </c>
      <c r="K10" s="76">
        <v>86000000</v>
      </c>
      <c r="L10" s="76">
        <v>140000000</v>
      </c>
      <c r="M10" s="76">
        <v>20000000</v>
      </c>
      <c r="N10" s="76">
        <v>65000000</v>
      </c>
      <c r="O10" s="76">
        <v>95100000</v>
      </c>
      <c r="P10" s="76">
        <v>40000000</v>
      </c>
      <c r="Q10" s="76">
        <v>45000000</v>
      </c>
      <c r="R10" s="76">
        <v>190900000</v>
      </c>
      <c r="S10" s="76">
        <v>22000000</v>
      </c>
      <c r="T10" s="267">
        <f t="shared" si="6"/>
        <v>679000000</v>
      </c>
      <c r="V10" s="206">
        <f t="shared" si="0"/>
        <v>8593051321.5862961</v>
      </c>
      <c r="W10" s="208">
        <f t="shared" si="1"/>
        <v>246000000</v>
      </c>
      <c r="X10" s="208">
        <f t="shared" si="2"/>
        <v>200100000</v>
      </c>
      <c r="Y10" s="208">
        <f t="shared" si="3"/>
        <v>257900000</v>
      </c>
      <c r="Z10" s="246">
        <f t="shared" si="4"/>
        <v>9297051321.5862961</v>
      </c>
    </row>
    <row r="11" spans="1:26">
      <c r="A11" s="205">
        <v>39467</v>
      </c>
      <c r="B11" s="210" t="b">
        <f t="shared" si="5"/>
        <v>0</v>
      </c>
      <c r="C11" s="76">
        <v>1503701374.114661</v>
      </c>
      <c r="D11" s="76">
        <v>325443940.25481588</v>
      </c>
      <c r="E11" s="76">
        <v>106906007.21681851</v>
      </c>
      <c r="F11" s="76">
        <v>1813500000</v>
      </c>
      <c r="G11" s="76">
        <v>500000000</v>
      </c>
      <c r="H11" s="76">
        <v>2429000000</v>
      </c>
      <c r="I11" s="76">
        <v>1146000000</v>
      </c>
      <c r="J11" s="76">
        <v>768500000</v>
      </c>
      <c r="K11" s="76">
        <v>86000000</v>
      </c>
      <c r="L11" s="76">
        <v>140000000</v>
      </c>
      <c r="M11" s="76">
        <v>20000000</v>
      </c>
      <c r="N11" s="76">
        <v>65000000</v>
      </c>
      <c r="O11" s="76">
        <v>95100000</v>
      </c>
      <c r="P11" s="76">
        <v>40000000</v>
      </c>
      <c r="Q11" s="76">
        <v>45000000</v>
      </c>
      <c r="R11" s="76">
        <v>190900000</v>
      </c>
      <c r="S11" s="76">
        <v>22000000</v>
      </c>
      <c r="T11" s="267">
        <f t="shared" si="6"/>
        <v>679000000</v>
      </c>
      <c r="V11" s="206">
        <f t="shared" si="0"/>
        <v>8593051321.5862961</v>
      </c>
      <c r="W11" s="208">
        <f t="shared" si="1"/>
        <v>246000000</v>
      </c>
      <c r="X11" s="208">
        <f t="shared" si="2"/>
        <v>200100000</v>
      </c>
      <c r="Y11" s="208">
        <f t="shared" si="3"/>
        <v>257900000</v>
      </c>
      <c r="Z11" s="246">
        <f t="shared" si="4"/>
        <v>9297051321.5862961</v>
      </c>
    </row>
    <row r="12" spans="1:26">
      <c r="A12" s="205">
        <v>39498</v>
      </c>
      <c r="B12" s="210" t="b">
        <f t="shared" si="5"/>
        <v>1</v>
      </c>
      <c r="C12" s="76">
        <v>1084699607.2515805</v>
      </c>
      <c r="D12" s="76">
        <v>234759986.42659205</v>
      </c>
      <c r="E12" s="76">
        <v>77116976.839362353</v>
      </c>
      <c r="F12" s="76">
        <v>1813500000</v>
      </c>
      <c r="G12" s="76">
        <v>500000000</v>
      </c>
      <c r="H12" s="76">
        <v>2429000000</v>
      </c>
      <c r="I12" s="76">
        <v>1146000000</v>
      </c>
      <c r="J12" s="76">
        <v>768500000</v>
      </c>
      <c r="K12" s="76">
        <v>86000000</v>
      </c>
      <c r="L12" s="76">
        <v>140000000</v>
      </c>
      <c r="M12" s="76">
        <v>20000000</v>
      </c>
      <c r="N12" s="76">
        <v>65000000</v>
      </c>
      <c r="O12" s="76">
        <v>95100000</v>
      </c>
      <c r="P12" s="76">
        <v>40000000</v>
      </c>
      <c r="Q12" s="76">
        <v>45000000</v>
      </c>
      <c r="R12" s="76">
        <v>190900000</v>
      </c>
      <c r="S12" s="76">
        <v>22000000</v>
      </c>
      <c r="T12" s="267">
        <f t="shared" si="6"/>
        <v>679000000</v>
      </c>
      <c r="V12" s="206">
        <f t="shared" si="0"/>
        <v>8053576570.5175352</v>
      </c>
      <c r="W12" s="208">
        <f t="shared" si="1"/>
        <v>246000000</v>
      </c>
      <c r="X12" s="208">
        <f t="shared" si="2"/>
        <v>200100000</v>
      </c>
      <c r="Y12" s="208">
        <f t="shared" si="3"/>
        <v>257900000</v>
      </c>
      <c r="Z12" s="246">
        <f t="shared" si="4"/>
        <v>8757576570.5175362</v>
      </c>
    </row>
    <row r="13" spans="1:26">
      <c r="A13" s="205">
        <v>39527</v>
      </c>
      <c r="B13" s="210" t="b">
        <f t="shared" si="5"/>
        <v>0</v>
      </c>
      <c r="C13" s="76">
        <v>1084699607.2515805</v>
      </c>
      <c r="D13" s="76">
        <v>234759986.42659205</v>
      </c>
      <c r="E13" s="76">
        <v>77116976.839362353</v>
      </c>
      <c r="F13" s="76">
        <v>1813500000</v>
      </c>
      <c r="G13" s="76">
        <v>500000000</v>
      </c>
      <c r="H13" s="76">
        <v>2429000000</v>
      </c>
      <c r="I13" s="76">
        <v>1146000000</v>
      </c>
      <c r="J13" s="76">
        <v>768500000</v>
      </c>
      <c r="K13" s="76">
        <v>86000000</v>
      </c>
      <c r="L13" s="76">
        <v>140000000</v>
      </c>
      <c r="M13" s="76">
        <v>20000000</v>
      </c>
      <c r="N13" s="76">
        <v>65000000</v>
      </c>
      <c r="O13" s="76">
        <v>95100000</v>
      </c>
      <c r="P13" s="76">
        <v>40000000</v>
      </c>
      <c r="Q13" s="76">
        <v>45000000</v>
      </c>
      <c r="R13" s="76">
        <v>190900000</v>
      </c>
      <c r="S13" s="76">
        <v>22000000</v>
      </c>
      <c r="T13" s="267">
        <f t="shared" si="6"/>
        <v>679000000</v>
      </c>
      <c r="V13" s="206">
        <f t="shared" si="0"/>
        <v>8053576570.5175352</v>
      </c>
      <c r="W13" s="208">
        <f t="shared" si="1"/>
        <v>246000000</v>
      </c>
      <c r="X13" s="208">
        <f t="shared" si="2"/>
        <v>200100000</v>
      </c>
      <c r="Y13" s="208">
        <f t="shared" si="3"/>
        <v>257900000</v>
      </c>
      <c r="Z13" s="246">
        <f t="shared" si="4"/>
        <v>8757576570.5175362</v>
      </c>
    </row>
    <row r="14" spans="1:26">
      <c r="A14" s="205">
        <v>39558</v>
      </c>
      <c r="B14" s="210" t="b">
        <f t="shared" si="5"/>
        <v>0</v>
      </c>
      <c r="C14" s="76">
        <v>1084699607.2515805</v>
      </c>
      <c r="D14" s="76">
        <v>234759986.42659205</v>
      </c>
      <c r="E14" s="76">
        <v>77116976.839362353</v>
      </c>
      <c r="F14" s="76">
        <v>1813500000</v>
      </c>
      <c r="G14" s="76">
        <v>500000000</v>
      </c>
      <c r="H14" s="76">
        <v>2429000000</v>
      </c>
      <c r="I14" s="76">
        <v>1146000000</v>
      </c>
      <c r="J14" s="76">
        <v>768500000</v>
      </c>
      <c r="K14" s="76">
        <v>86000000</v>
      </c>
      <c r="L14" s="76">
        <v>140000000</v>
      </c>
      <c r="M14" s="76">
        <v>20000000</v>
      </c>
      <c r="N14" s="76">
        <v>65000000</v>
      </c>
      <c r="O14" s="76">
        <v>95100000</v>
      </c>
      <c r="P14" s="76">
        <v>40000000</v>
      </c>
      <c r="Q14" s="76">
        <v>45000000</v>
      </c>
      <c r="R14" s="76">
        <v>190900000</v>
      </c>
      <c r="S14" s="76">
        <v>22000000</v>
      </c>
      <c r="T14" s="267">
        <f t="shared" si="6"/>
        <v>679000000</v>
      </c>
      <c r="V14" s="206">
        <f t="shared" si="0"/>
        <v>8053576570.5175352</v>
      </c>
      <c r="W14" s="208">
        <f t="shared" si="1"/>
        <v>246000000</v>
      </c>
      <c r="X14" s="208">
        <f t="shared" si="2"/>
        <v>200100000</v>
      </c>
      <c r="Y14" s="208">
        <f t="shared" si="3"/>
        <v>257900000</v>
      </c>
      <c r="Z14" s="246">
        <f t="shared" si="4"/>
        <v>8757576570.5175362</v>
      </c>
    </row>
    <row r="15" spans="1:26">
      <c r="A15" s="205">
        <v>39588</v>
      </c>
      <c r="B15" s="210" t="b">
        <f t="shared" si="5"/>
        <v>1</v>
      </c>
      <c r="C15" s="76">
        <v>688432202.08331716</v>
      </c>
      <c r="D15" s="76">
        <v>148996398.02231792</v>
      </c>
      <c r="E15" s="76">
        <v>48944251.319542497</v>
      </c>
      <c r="F15" s="76">
        <v>1813500000</v>
      </c>
      <c r="G15" s="76">
        <v>500000000</v>
      </c>
      <c r="H15" s="76">
        <v>2429000000</v>
      </c>
      <c r="I15" s="76">
        <v>1146000000</v>
      </c>
      <c r="J15" s="76">
        <v>768500000</v>
      </c>
      <c r="K15" s="76">
        <v>86000000</v>
      </c>
      <c r="L15" s="76">
        <v>140000000</v>
      </c>
      <c r="M15" s="76">
        <v>20000000</v>
      </c>
      <c r="N15" s="76">
        <v>65000000</v>
      </c>
      <c r="O15" s="76">
        <v>95100000</v>
      </c>
      <c r="P15" s="76">
        <v>40000000</v>
      </c>
      <c r="Q15" s="76">
        <v>45000000</v>
      </c>
      <c r="R15" s="76">
        <v>190900000</v>
      </c>
      <c r="S15" s="76">
        <v>22000000</v>
      </c>
      <c r="T15" s="267">
        <f t="shared" si="6"/>
        <v>679000000</v>
      </c>
      <c r="V15" s="206">
        <f t="shared" si="0"/>
        <v>7543372851.4251776</v>
      </c>
      <c r="W15" s="208">
        <f t="shared" si="1"/>
        <v>246000000</v>
      </c>
      <c r="X15" s="208">
        <f t="shared" si="2"/>
        <v>200100000</v>
      </c>
      <c r="Y15" s="208">
        <f t="shared" si="3"/>
        <v>257900000</v>
      </c>
      <c r="Z15" s="246">
        <f t="shared" si="4"/>
        <v>8247372851.4251776</v>
      </c>
    </row>
    <row r="16" spans="1:26">
      <c r="A16" s="205">
        <v>39619</v>
      </c>
      <c r="B16" s="210" t="b">
        <f t="shared" si="5"/>
        <v>0</v>
      </c>
      <c r="C16" s="76">
        <v>688432202.08331716</v>
      </c>
      <c r="D16" s="76">
        <v>148996398.02231792</v>
      </c>
      <c r="E16" s="76">
        <v>48944251.319542497</v>
      </c>
      <c r="F16" s="76">
        <v>1813500000</v>
      </c>
      <c r="G16" s="76">
        <v>500000000</v>
      </c>
      <c r="H16" s="76">
        <v>2429000000</v>
      </c>
      <c r="I16" s="76">
        <v>1146000000</v>
      </c>
      <c r="J16" s="76">
        <v>768500000</v>
      </c>
      <c r="K16" s="76">
        <v>86000000</v>
      </c>
      <c r="L16" s="76">
        <v>140000000</v>
      </c>
      <c r="M16" s="76">
        <v>20000000</v>
      </c>
      <c r="N16" s="76">
        <v>65000000</v>
      </c>
      <c r="O16" s="76">
        <v>95100000</v>
      </c>
      <c r="P16" s="76">
        <v>40000000</v>
      </c>
      <c r="Q16" s="76">
        <v>45000000</v>
      </c>
      <c r="R16" s="76">
        <v>190900000</v>
      </c>
      <c r="S16" s="76">
        <v>22000000</v>
      </c>
      <c r="T16" s="267">
        <f t="shared" si="6"/>
        <v>679000000</v>
      </c>
      <c r="V16" s="206">
        <f t="shared" si="0"/>
        <v>7543372851.4251776</v>
      </c>
      <c r="W16" s="208">
        <f t="shared" si="1"/>
        <v>246000000</v>
      </c>
      <c r="X16" s="208">
        <f t="shared" si="2"/>
        <v>200100000</v>
      </c>
      <c r="Y16" s="208">
        <f t="shared" si="3"/>
        <v>257900000</v>
      </c>
      <c r="Z16" s="246">
        <f t="shared" si="4"/>
        <v>8247372851.4251776</v>
      </c>
    </row>
    <row r="17" spans="1:26">
      <c r="A17" s="205">
        <v>39649</v>
      </c>
      <c r="B17" s="210" t="b">
        <f t="shared" si="5"/>
        <v>0</v>
      </c>
      <c r="C17" s="76">
        <v>688432202.08331716</v>
      </c>
      <c r="D17" s="76">
        <v>148996398.02231792</v>
      </c>
      <c r="E17" s="76">
        <v>48944251.319542497</v>
      </c>
      <c r="F17" s="76">
        <v>1813500000</v>
      </c>
      <c r="G17" s="76">
        <v>500000000</v>
      </c>
      <c r="H17" s="76">
        <v>2429000000</v>
      </c>
      <c r="I17" s="76">
        <v>1146000000</v>
      </c>
      <c r="J17" s="76">
        <v>768500000</v>
      </c>
      <c r="K17" s="76">
        <v>86000000</v>
      </c>
      <c r="L17" s="76">
        <v>140000000</v>
      </c>
      <c r="M17" s="76">
        <v>20000000</v>
      </c>
      <c r="N17" s="76">
        <v>65000000</v>
      </c>
      <c r="O17" s="76">
        <v>95100000</v>
      </c>
      <c r="P17" s="76">
        <v>40000000</v>
      </c>
      <c r="Q17" s="76">
        <v>45000000</v>
      </c>
      <c r="R17" s="76">
        <v>190900000</v>
      </c>
      <c r="S17" s="76">
        <v>22000000</v>
      </c>
      <c r="T17" s="267">
        <f t="shared" si="6"/>
        <v>679000000</v>
      </c>
      <c r="V17" s="206">
        <f t="shared" si="0"/>
        <v>7543372851.4251776</v>
      </c>
      <c r="W17" s="208">
        <f t="shared" si="1"/>
        <v>246000000</v>
      </c>
      <c r="X17" s="208">
        <f t="shared" si="2"/>
        <v>200100000</v>
      </c>
      <c r="Y17" s="208">
        <f t="shared" si="3"/>
        <v>257900000</v>
      </c>
      <c r="Z17" s="246">
        <f t="shared" si="4"/>
        <v>8247372851.4251776</v>
      </c>
    </row>
    <row r="18" spans="1:26">
      <c r="A18" s="205">
        <v>39680</v>
      </c>
      <c r="B18" s="210" t="b">
        <f t="shared" si="5"/>
        <v>1</v>
      </c>
      <c r="C18" s="76">
        <v>313665628.72397047</v>
      </c>
      <c r="D18" s="76">
        <v>67886203.930973604</v>
      </c>
      <c r="E18" s="76">
        <v>22300132.556423232</v>
      </c>
      <c r="F18" s="76">
        <v>1813500000</v>
      </c>
      <c r="G18" s="76">
        <v>500000000</v>
      </c>
      <c r="H18" s="76">
        <v>2429000000</v>
      </c>
      <c r="I18" s="76">
        <v>1146000000</v>
      </c>
      <c r="J18" s="76">
        <v>768500000</v>
      </c>
      <c r="K18" s="76">
        <v>86000000</v>
      </c>
      <c r="L18" s="76">
        <v>140000000</v>
      </c>
      <c r="M18" s="76">
        <v>20000000</v>
      </c>
      <c r="N18" s="76">
        <v>65000000</v>
      </c>
      <c r="O18" s="76">
        <v>95100000</v>
      </c>
      <c r="P18" s="76">
        <v>40000000</v>
      </c>
      <c r="Q18" s="76">
        <v>45000000</v>
      </c>
      <c r="R18" s="76">
        <v>190900000</v>
      </c>
      <c r="S18" s="76">
        <v>22000000</v>
      </c>
      <c r="T18" s="267">
        <f t="shared" si="6"/>
        <v>679000000</v>
      </c>
      <c r="V18" s="206">
        <f t="shared" si="0"/>
        <v>7060851965.2113667</v>
      </c>
      <c r="W18" s="208">
        <f t="shared" si="1"/>
        <v>246000000</v>
      </c>
      <c r="X18" s="208">
        <f t="shared" si="2"/>
        <v>200100000</v>
      </c>
      <c r="Y18" s="208">
        <f t="shared" si="3"/>
        <v>257900000</v>
      </c>
      <c r="Z18" s="246">
        <f t="shared" si="4"/>
        <v>7764851965.2113667</v>
      </c>
    </row>
    <row r="19" spans="1:26">
      <c r="A19" s="205">
        <v>39711</v>
      </c>
      <c r="B19" s="210" t="b">
        <f t="shared" si="5"/>
        <v>0</v>
      </c>
      <c r="C19" s="76">
        <v>313665628.72397047</v>
      </c>
      <c r="D19" s="76">
        <v>67886203.930973604</v>
      </c>
      <c r="E19" s="76">
        <v>22300132.556423232</v>
      </c>
      <c r="F19" s="76">
        <v>1813500000</v>
      </c>
      <c r="G19" s="76">
        <v>500000000</v>
      </c>
      <c r="H19" s="76">
        <v>2429000000</v>
      </c>
      <c r="I19" s="76">
        <v>1146000000</v>
      </c>
      <c r="J19" s="76">
        <v>768500000</v>
      </c>
      <c r="K19" s="76">
        <v>86000000</v>
      </c>
      <c r="L19" s="76">
        <v>140000000</v>
      </c>
      <c r="M19" s="76">
        <v>20000000</v>
      </c>
      <c r="N19" s="76">
        <v>65000000</v>
      </c>
      <c r="O19" s="76">
        <v>95100000</v>
      </c>
      <c r="P19" s="76">
        <v>40000000</v>
      </c>
      <c r="Q19" s="76">
        <v>45000000</v>
      </c>
      <c r="R19" s="76">
        <v>190900000</v>
      </c>
      <c r="S19" s="76">
        <v>22000000</v>
      </c>
      <c r="T19" s="267">
        <f t="shared" si="6"/>
        <v>679000000</v>
      </c>
      <c r="V19" s="206">
        <f t="shared" si="0"/>
        <v>7060851965.2113667</v>
      </c>
      <c r="W19" s="208">
        <f t="shared" si="1"/>
        <v>246000000</v>
      </c>
      <c r="X19" s="208">
        <f t="shared" si="2"/>
        <v>200100000</v>
      </c>
      <c r="Y19" s="208">
        <f t="shared" si="3"/>
        <v>257900000</v>
      </c>
      <c r="Z19" s="246">
        <f t="shared" si="4"/>
        <v>7764851965.2113667</v>
      </c>
    </row>
    <row r="20" spans="1:26">
      <c r="A20" s="205">
        <v>39741</v>
      </c>
      <c r="B20" s="210" t="b">
        <f t="shared" si="5"/>
        <v>0</v>
      </c>
      <c r="C20" s="76">
        <v>313665628.72397047</v>
      </c>
      <c r="D20" s="76">
        <v>67886203.930973604</v>
      </c>
      <c r="E20" s="76">
        <v>22300132.556423232</v>
      </c>
      <c r="F20" s="76">
        <v>1813500000</v>
      </c>
      <c r="G20" s="76">
        <v>500000000</v>
      </c>
      <c r="H20" s="76">
        <v>2429000000</v>
      </c>
      <c r="I20" s="76">
        <v>1146000000</v>
      </c>
      <c r="J20" s="76">
        <v>768500000</v>
      </c>
      <c r="K20" s="76">
        <v>86000000</v>
      </c>
      <c r="L20" s="76">
        <v>140000000</v>
      </c>
      <c r="M20" s="76">
        <v>20000000</v>
      </c>
      <c r="N20" s="76">
        <v>65000000</v>
      </c>
      <c r="O20" s="76">
        <v>95100000</v>
      </c>
      <c r="P20" s="76">
        <v>40000000</v>
      </c>
      <c r="Q20" s="76">
        <v>45000000</v>
      </c>
      <c r="R20" s="76">
        <v>190900000</v>
      </c>
      <c r="S20" s="76">
        <v>22000000</v>
      </c>
      <c r="T20" s="267">
        <f t="shared" si="6"/>
        <v>679000000</v>
      </c>
      <c r="V20" s="206">
        <f t="shared" si="0"/>
        <v>7060851965.2113667</v>
      </c>
      <c r="W20" s="208">
        <f t="shared" si="1"/>
        <v>246000000</v>
      </c>
      <c r="X20" s="208">
        <f t="shared" si="2"/>
        <v>200100000</v>
      </c>
      <c r="Y20" s="208">
        <f t="shared" si="3"/>
        <v>257900000</v>
      </c>
      <c r="Z20" s="246">
        <f t="shared" si="4"/>
        <v>7764851965.2113667</v>
      </c>
    </row>
    <row r="21" spans="1:26">
      <c r="A21" s="205">
        <v>39772</v>
      </c>
      <c r="B21" s="210" t="b">
        <f t="shared" si="5"/>
        <v>1</v>
      </c>
      <c r="C21" s="76">
        <v>0</v>
      </c>
      <c r="D21" s="76">
        <v>0</v>
      </c>
      <c r="E21" s="76">
        <v>0</v>
      </c>
      <c r="F21" s="76">
        <v>1813500000</v>
      </c>
      <c r="G21" s="76">
        <v>500000000</v>
      </c>
      <c r="H21" s="76">
        <v>2429000000</v>
      </c>
      <c r="I21" s="76">
        <v>1146000000</v>
      </c>
      <c r="J21" s="76">
        <v>768500000</v>
      </c>
      <c r="K21" s="76">
        <v>54687201.638888843</v>
      </c>
      <c r="L21" s="76">
        <v>140000000</v>
      </c>
      <c r="M21" s="76">
        <v>20000000</v>
      </c>
      <c r="N21" s="76">
        <v>41333350.075904354</v>
      </c>
      <c r="O21" s="76">
        <v>95100000</v>
      </c>
      <c r="P21" s="76">
        <v>40000000</v>
      </c>
      <c r="Q21" s="76">
        <v>45000000</v>
      </c>
      <c r="R21" s="76">
        <v>190900000</v>
      </c>
      <c r="S21" s="76">
        <v>22000000</v>
      </c>
      <c r="T21" s="267">
        <f t="shared" si="6"/>
        <v>679000000</v>
      </c>
      <c r="V21" s="206">
        <f t="shared" si="0"/>
        <v>6657000000</v>
      </c>
      <c r="W21" s="208">
        <f t="shared" si="1"/>
        <v>214687201.63888884</v>
      </c>
      <c r="X21" s="208">
        <f t="shared" si="2"/>
        <v>176433350.07590437</v>
      </c>
      <c r="Y21" s="208">
        <f t="shared" si="3"/>
        <v>257900000</v>
      </c>
      <c r="Z21" s="246">
        <f t="shared" si="4"/>
        <v>7306020551.7147942</v>
      </c>
    </row>
    <row r="22" spans="1:26">
      <c r="A22" s="205">
        <v>39802</v>
      </c>
      <c r="B22" s="210" t="b">
        <f t="shared" si="5"/>
        <v>0</v>
      </c>
      <c r="C22" s="76">
        <v>0</v>
      </c>
      <c r="D22" s="76">
        <v>0</v>
      </c>
      <c r="E22" s="76">
        <v>0</v>
      </c>
      <c r="F22" s="76">
        <v>1813500000</v>
      </c>
      <c r="G22" s="76">
        <v>500000000</v>
      </c>
      <c r="H22" s="76">
        <v>2429000000</v>
      </c>
      <c r="I22" s="76">
        <v>1146000000</v>
      </c>
      <c r="J22" s="76">
        <v>768500000</v>
      </c>
      <c r="K22" s="76">
        <v>54687201.638888843</v>
      </c>
      <c r="L22" s="76">
        <v>140000000</v>
      </c>
      <c r="M22" s="76">
        <v>20000000</v>
      </c>
      <c r="N22" s="76">
        <v>41333350.075904354</v>
      </c>
      <c r="O22" s="76">
        <v>95100000</v>
      </c>
      <c r="P22" s="76">
        <v>40000000</v>
      </c>
      <c r="Q22" s="76">
        <v>45000000</v>
      </c>
      <c r="R22" s="76">
        <v>190900000</v>
      </c>
      <c r="S22" s="76">
        <v>22000000</v>
      </c>
      <c r="T22" s="267">
        <f t="shared" si="6"/>
        <v>679000000</v>
      </c>
      <c r="V22" s="206">
        <f t="shared" si="0"/>
        <v>6657000000</v>
      </c>
      <c r="W22" s="208">
        <f t="shared" si="1"/>
        <v>214687201.63888884</v>
      </c>
      <c r="X22" s="208">
        <f t="shared" si="2"/>
        <v>176433350.07590437</v>
      </c>
      <c r="Y22" s="208">
        <f t="shared" si="3"/>
        <v>257900000</v>
      </c>
      <c r="Z22" s="246">
        <f t="shared" si="4"/>
        <v>7306020551.7147942</v>
      </c>
    </row>
    <row r="23" spans="1:26">
      <c r="A23" s="205">
        <v>39833</v>
      </c>
      <c r="B23" s="210" t="b">
        <f t="shared" si="5"/>
        <v>0</v>
      </c>
      <c r="C23" s="76">
        <v>0</v>
      </c>
      <c r="D23" s="76">
        <v>0</v>
      </c>
      <c r="E23" s="76">
        <v>0</v>
      </c>
      <c r="F23" s="76">
        <v>1813500000</v>
      </c>
      <c r="G23" s="76">
        <v>500000000</v>
      </c>
      <c r="H23" s="76">
        <v>2429000000</v>
      </c>
      <c r="I23" s="76">
        <v>1146000000</v>
      </c>
      <c r="J23" s="76">
        <v>768500000</v>
      </c>
      <c r="K23" s="76">
        <v>54687201.638888843</v>
      </c>
      <c r="L23" s="76">
        <v>140000000</v>
      </c>
      <c r="M23" s="76">
        <v>20000000</v>
      </c>
      <c r="N23" s="76">
        <v>41333350.075904354</v>
      </c>
      <c r="O23" s="76">
        <v>95100000</v>
      </c>
      <c r="P23" s="76">
        <v>40000000</v>
      </c>
      <c r="Q23" s="76">
        <v>45000000</v>
      </c>
      <c r="R23" s="76">
        <v>190900000</v>
      </c>
      <c r="S23" s="76">
        <v>22000000</v>
      </c>
      <c r="T23" s="267">
        <f t="shared" si="6"/>
        <v>679000000</v>
      </c>
      <c r="V23" s="206">
        <f t="shared" si="0"/>
        <v>6657000000</v>
      </c>
      <c r="W23" s="208">
        <f t="shared" si="1"/>
        <v>214687201.63888884</v>
      </c>
      <c r="X23" s="208">
        <f t="shared" si="2"/>
        <v>176433350.07590437</v>
      </c>
      <c r="Y23" s="208">
        <f t="shared" si="3"/>
        <v>257900000</v>
      </c>
      <c r="Z23" s="246">
        <f t="shared" si="4"/>
        <v>7306020551.7147942</v>
      </c>
    </row>
    <row r="24" spans="1:26">
      <c r="A24" s="205">
        <v>39864</v>
      </c>
      <c r="B24" s="210" t="b">
        <f t="shared" si="5"/>
        <v>1</v>
      </c>
      <c r="C24" s="76">
        <v>0</v>
      </c>
      <c r="D24" s="76">
        <v>0</v>
      </c>
      <c r="E24" s="76">
        <v>0</v>
      </c>
      <c r="F24" s="76">
        <v>1537517794.2763662</v>
      </c>
      <c r="G24" s="76">
        <v>423908958.9954139</v>
      </c>
      <c r="H24" s="76">
        <v>2429000000</v>
      </c>
      <c r="I24" s="76">
        <v>1146000000</v>
      </c>
      <c r="J24" s="76">
        <v>768500000</v>
      </c>
      <c r="K24" s="76">
        <v>0</v>
      </c>
      <c r="L24" s="76">
        <v>140000000</v>
      </c>
      <c r="M24" s="76">
        <v>20000000</v>
      </c>
      <c r="N24" s="76">
        <v>0</v>
      </c>
      <c r="O24" s="76">
        <v>95100000</v>
      </c>
      <c r="P24" s="76">
        <v>40000000</v>
      </c>
      <c r="Q24" s="76">
        <v>45000000</v>
      </c>
      <c r="R24" s="76">
        <v>190900000</v>
      </c>
      <c r="S24" s="76">
        <v>22000000</v>
      </c>
      <c r="T24" s="267">
        <f t="shared" si="6"/>
        <v>679000000</v>
      </c>
      <c r="V24" s="206">
        <f t="shared" si="0"/>
        <v>6304926753.27178</v>
      </c>
      <c r="W24" s="208">
        <f t="shared" si="1"/>
        <v>160000000</v>
      </c>
      <c r="X24" s="208">
        <f t="shared" si="2"/>
        <v>135100000</v>
      </c>
      <c r="Y24" s="208">
        <f t="shared" si="3"/>
        <v>257900000</v>
      </c>
      <c r="Z24" s="246">
        <f t="shared" si="4"/>
        <v>6857926753.27178</v>
      </c>
    </row>
    <row r="25" spans="1:26">
      <c r="A25" s="205">
        <v>39892</v>
      </c>
      <c r="B25" s="210" t="b">
        <f t="shared" si="5"/>
        <v>0</v>
      </c>
      <c r="C25" s="76">
        <v>0</v>
      </c>
      <c r="D25" s="76">
        <v>0</v>
      </c>
      <c r="E25" s="76">
        <v>0</v>
      </c>
      <c r="F25" s="76">
        <v>1537517794.2763662</v>
      </c>
      <c r="G25" s="76">
        <v>423908958.9954139</v>
      </c>
      <c r="H25" s="76">
        <v>2429000000</v>
      </c>
      <c r="I25" s="76">
        <v>1146000000</v>
      </c>
      <c r="J25" s="76">
        <v>768500000</v>
      </c>
      <c r="K25" s="76">
        <v>0</v>
      </c>
      <c r="L25" s="76">
        <v>140000000</v>
      </c>
      <c r="M25" s="76">
        <v>20000000</v>
      </c>
      <c r="N25" s="76">
        <v>0</v>
      </c>
      <c r="O25" s="76">
        <v>95100000</v>
      </c>
      <c r="P25" s="76">
        <v>40000000</v>
      </c>
      <c r="Q25" s="76">
        <v>45000000</v>
      </c>
      <c r="R25" s="76">
        <v>190900000</v>
      </c>
      <c r="S25" s="76">
        <v>22000000</v>
      </c>
      <c r="T25" s="267">
        <f t="shared" si="6"/>
        <v>679000000</v>
      </c>
      <c r="V25" s="206">
        <f t="shared" si="0"/>
        <v>6304926753.27178</v>
      </c>
      <c r="W25" s="208">
        <f t="shared" si="1"/>
        <v>160000000</v>
      </c>
      <c r="X25" s="208">
        <f t="shared" si="2"/>
        <v>135100000</v>
      </c>
      <c r="Y25" s="208">
        <f t="shared" si="3"/>
        <v>257900000</v>
      </c>
      <c r="Z25" s="246">
        <f t="shared" si="4"/>
        <v>6857926753.27178</v>
      </c>
    </row>
    <row r="26" spans="1:26">
      <c r="A26" s="205">
        <v>39923</v>
      </c>
      <c r="B26" s="210" t="b">
        <f t="shared" si="5"/>
        <v>0</v>
      </c>
      <c r="C26" s="76">
        <v>0</v>
      </c>
      <c r="D26" s="76">
        <v>0</v>
      </c>
      <c r="E26" s="76">
        <v>0</v>
      </c>
      <c r="F26" s="76">
        <v>1537517794.2763662</v>
      </c>
      <c r="G26" s="76">
        <v>423908958.9954139</v>
      </c>
      <c r="H26" s="76">
        <v>2429000000</v>
      </c>
      <c r="I26" s="76">
        <v>1146000000</v>
      </c>
      <c r="J26" s="76">
        <v>768500000</v>
      </c>
      <c r="K26" s="76">
        <v>0</v>
      </c>
      <c r="L26" s="76">
        <v>140000000</v>
      </c>
      <c r="M26" s="76">
        <v>20000000</v>
      </c>
      <c r="N26" s="76">
        <v>0</v>
      </c>
      <c r="O26" s="76">
        <v>95100000</v>
      </c>
      <c r="P26" s="76">
        <v>40000000</v>
      </c>
      <c r="Q26" s="76">
        <v>45000000</v>
      </c>
      <c r="R26" s="76">
        <v>190900000</v>
      </c>
      <c r="S26" s="76">
        <v>22000000</v>
      </c>
      <c r="T26" s="267">
        <f t="shared" si="6"/>
        <v>679000000</v>
      </c>
      <c r="V26" s="206">
        <f t="shared" si="0"/>
        <v>6304926753.27178</v>
      </c>
      <c r="W26" s="208">
        <f t="shared" si="1"/>
        <v>160000000</v>
      </c>
      <c r="X26" s="208">
        <f t="shared" si="2"/>
        <v>135100000</v>
      </c>
      <c r="Y26" s="208">
        <f t="shared" si="3"/>
        <v>257900000</v>
      </c>
      <c r="Z26" s="246">
        <f t="shared" si="4"/>
        <v>6857926753.27178</v>
      </c>
    </row>
    <row r="27" spans="1:26">
      <c r="A27" s="205">
        <v>39953</v>
      </c>
      <c r="B27" s="210" t="b">
        <f t="shared" si="5"/>
        <v>1</v>
      </c>
      <c r="C27" s="76">
        <v>0</v>
      </c>
      <c r="D27" s="76">
        <v>0</v>
      </c>
      <c r="E27" s="76">
        <v>0</v>
      </c>
      <c r="F27" s="76">
        <v>1206119443.7736914</v>
      </c>
      <c r="G27" s="76">
        <v>332539135.31119144</v>
      </c>
      <c r="H27" s="76">
        <v>2429000000</v>
      </c>
      <c r="I27" s="76">
        <v>1146000000</v>
      </c>
      <c r="J27" s="76">
        <v>768500000</v>
      </c>
      <c r="K27" s="76">
        <v>0</v>
      </c>
      <c r="L27" s="76">
        <v>140000000</v>
      </c>
      <c r="M27" s="76">
        <v>20000000</v>
      </c>
      <c r="N27" s="76">
        <v>0</v>
      </c>
      <c r="O27" s="76">
        <v>95100000</v>
      </c>
      <c r="P27" s="76">
        <v>40000000</v>
      </c>
      <c r="Q27" s="76">
        <v>45000000</v>
      </c>
      <c r="R27" s="76">
        <v>190900000</v>
      </c>
      <c r="S27" s="76">
        <v>22000000</v>
      </c>
      <c r="T27" s="267">
        <f t="shared" si="6"/>
        <v>679000000</v>
      </c>
      <c r="V27" s="206">
        <f t="shared" si="0"/>
        <v>5882158579.0848827</v>
      </c>
      <c r="W27" s="208">
        <f t="shared" si="1"/>
        <v>160000000</v>
      </c>
      <c r="X27" s="208">
        <f t="shared" si="2"/>
        <v>135100000</v>
      </c>
      <c r="Y27" s="208">
        <f t="shared" si="3"/>
        <v>257900000</v>
      </c>
      <c r="Z27" s="246">
        <f t="shared" si="4"/>
        <v>6435158579.0848827</v>
      </c>
    </row>
    <row r="28" spans="1:26">
      <c r="A28" s="205">
        <v>39984</v>
      </c>
      <c r="B28" s="210" t="b">
        <f t="shared" si="5"/>
        <v>0</v>
      </c>
      <c r="C28" s="76">
        <v>0</v>
      </c>
      <c r="D28" s="76">
        <v>0</v>
      </c>
      <c r="E28" s="76">
        <v>0</v>
      </c>
      <c r="F28" s="76">
        <v>1206119443.7736914</v>
      </c>
      <c r="G28" s="76">
        <v>332539135.31119144</v>
      </c>
      <c r="H28" s="76">
        <v>2429000000</v>
      </c>
      <c r="I28" s="76">
        <v>1146000000</v>
      </c>
      <c r="J28" s="76">
        <v>768500000</v>
      </c>
      <c r="K28" s="76">
        <v>0</v>
      </c>
      <c r="L28" s="76">
        <v>140000000</v>
      </c>
      <c r="M28" s="76">
        <v>20000000</v>
      </c>
      <c r="N28" s="76">
        <v>0</v>
      </c>
      <c r="O28" s="76">
        <v>95100000</v>
      </c>
      <c r="P28" s="76">
        <v>40000000</v>
      </c>
      <c r="Q28" s="76">
        <v>45000000</v>
      </c>
      <c r="R28" s="76">
        <v>190900000</v>
      </c>
      <c r="S28" s="76">
        <v>22000000</v>
      </c>
      <c r="T28" s="267">
        <f t="shared" si="6"/>
        <v>679000000</v>
      </c>
      <c r="V28" s="206">
        <f t="shared" si="0"/>
        <v>5882158579.0848827</v>
      </c>
      <c r="W28" s="208">
        <f t="shared" si="1"/>
        <v>160000000</v>
      </c>
      <c r="X28" s="208">
        <f t="shared" si="2"/>
        <v>135100000</v>
      </c>
      <c r="Y28" s="208">
        <f t="shared" si="3"/>
        <v>257900000</v>
      </c>
      <c r="Z28" s="246">
        <f t="shared" si="4"/>
        <v>6435158579.0848827</v>
      </c>
    </row>
    <row r="29" spans="1:26">
      <c r="A29" s="205">
        <v>40014</v>
      </c>
      <c r="B29" s="210" t="b">
        <f t="shared" si="5"/>
        <v>0</v>
      </c>
      <c r="C29" s="76">
        <v>0</v>
      </c>
      <c r="D29" s="76">
        <v>0</v>
      </c>
      <c r="E29" s="76">
        <v>0</v>
      </c>
      <c r="F29" s="76">
        <v>1206119443.7736914</v>
      </c>
      <c r="G29" s="76">
        <v>332539135.31119144</v>
      </c>
      <c r="H29" s="76">
        <v>2429000000</v>
      </c>
      <c r="I29" s="76">
        <v>1146000000</v>
      </c>
      <c r="J29" s="76">
        <v>768500000</v>
      </c>
      <c r="K29" s="76">
        <v>0</v>
      </c>
      <c r="L29" s="76">
        <v>140000000</v>
      </c>
      <c r="M29" s="76">
        <v>20000000</v>
      </c>
      <c r="N29" s="76">
        <v>0</v>
      </c>
      <c r="O29" s="76">
        <v>95100000</v>
      </c>
      <c r="P29" s="76">
        <v>40000000</v>
      </c>
      <c r="Q29" s="76">
        <v>45000000</v>
      </c>
      <c r="R29" s="76">
        <v>190900000</v>
      </c>
      <c r="S29" s="76">
        <v>22000000</v>
      </c>
      <c r="T29" s="267">
        <f t="shared" si="6"/>
        <v>679000000</v>
      </c>
      <c r="V29" s="206">
        <f t="shared" si="0"/>
        <v>5882158579.0848827</v>
      </c>
      <c r="W29" s="208">
        <f t="shared" si="1"/>
        <v>160000000</v>
      </c>
      <c r="X29" s="208">
        <f t="shared" si="2"/>
        <v>135100000</v>
      </c>
      <c r="Y29" s="208">
        <f t="shared" si="3"/>
        <v>257900000</v>
      </c>
      <c r="Z29" s="246">
        <f t="shared" si="4"/>
        <v>6435158579.0848827</v>
      </c>
    </row>
    <row r="30" spans="1:26">
      <c r="A30" s="205">
        <v>40045</v>
      </c>
      <c r="B30" s="210" t="b">
        <f t="shared" si="5"/>
        <v>1</v>
      </c>
      <c r="C30" s="76">
        <v>0</v>
      </c>
      <c r="D30" s="76">
        <v>0</v>
      </c>
      <c r="E30" s="76">
        <v>0</v>
      </c>
      <c r="F30" s="76">
        <v>892702234.54829323</v>
      </c>
      <c r="G30" s="76">
        <v>246126891.24573842</v>
      </c>
      <c r="H30" s="76">
        <v>2429000000</v>
      </c>
      <c r="I30" s="76">
        <v>1146000000</v>
      </c>
      <c r="J30" s="76">
        <v>768500000</v>
      </c>
      <c r="K30" s="76">
        <v>0</v>
      </c>
      <c r="L30" s="76">
        <v>140000000</v>
      </c>
      <c r="M30" s="76">
        <v>20000000</v>
      </c>
      <c r="N30" s="76">
        <v>0</v>
      </c>
      <c r="O30" s="76">
        <v>95100000</v>
      </c>
      <c r="P30" s="76">
        <v>40000000</v>
      </c>
      <c r="Q30" s="76">
        <v>45000000</v>
      </c>
      <c r="R30" s="76">
        <v>190900000</v>
      </c>
      <c r="S30" s="76">
        <v>22000000</v>
      </c>
      <c r="T30" s="267">
        <f t="shared" si="6"/>
        <v>679000000</v>
      </c>
      <c r="V30" s="206">
        <f t="shared" si="0"/>
        <v>5482329125.7940311</v>
      </c>
      <c r="W30" s="208">
        <f t="shared" si="1"/>
        <v>160000000</v>
      </c>
      <c r="X30" s="208">
        <f t="shared" si="2"/>
        <v>135100000</v>
      </c>
      <c r="Y30" s="208">
        <f t="shared" si="3"/>
        <v>257900000</v>
      </c>
      <c r="Z30" s="246">
        <f t="shared" si="4"/>
        <v>6035329125.7940311</v>
      </c>
    </row>
    <row r="31" spans="1:26">
      <c r="A31" s="205">
        <v>40076</v>
      </c>
      <c r="B31" s="210" t="b">
        <f t="shared" si="5"/>
        <v>0</v>
      </c>
      <c r="C31" s="76">
        <v>0</v>
      </c>
      <c r="D31" s="76">
        <v>0</v>
      </c>
      <c r="E31" s="76">
        <v>0</v>
      </c>
      <c r="F31" s="76">
        <v>892702234.54829323</v>
      </c>
      <c r="G31" s="76">
        <v>246126891.24573842</v>
      </c>
      <c r="H31" s="76">
        <v>2429000000</v>
      </c>
      <c r="I31" s="76">
        <v>1146000000</v>
      </c>
      <c r="J31" s="76">
        <v>768500000</v>
      </c>
      <c r="K31" s="76">
        <v>0</v>
      </c>
      <c r="L31" s="76">
        <v>140000000</v>
      </c>
      <c r="M31" s="76">
        <v>20000000</v>
      </c>
      <c r="N31" s="76">
        <v>0</v>
      </c>
      <c r="O31" s="76">
        <v>95100000</v>
      </c>
      <c r="P31" s="76">
        <v>40000000</v>
      </c>
      <c r="Q31" s="76">
        <v>45000000</v>
      </c>
      <c r="R31" s="76">
        <v>190900000</v>
      </c>
      <c r="S31" s="76">
        <v>22000000</v>
      </c>
      <c r="T31" s="267">
        <f t="shared" si="6"/>
        <v>679000000</v>
      </c>
      <c r="V31" s="206">
        <f t="shared" si="0"/>
        <v>5482329125.7940311</v>
      </c>
      <c r="W31" s="208">
        <f t="shared" si="1"/>
        <v>160000000</v>
      </c>
      <c r="X31" s="208">
        <f t="shared" si="2"/>
        <v>135100000</v>
      </c>
      <c r="Y31" s="208">
        <f t="shared" si="3"/>
        <v>257900000</v>
      </c>
      <c r="Z31" s="246">
        <f t="shared" si="4"/>
        <v>6035329125.7940311</v>
      </c>
    </row>
    <row r="32" spans="1:26">
      <c r="A32" s="205">
        <v>40106</v>
      </c>
      <c r="B32" s="210" t="b">
        <f t="shared" si="5"/>
        <v>0</v>
      </c>
      <c r="C32" s="76">
        <v>0</v>
      </c>
      <c r="D32" s="76">
        <v>0</v>
      </c>
      <c r="E32" s="76">
        <v>0</v>
      </c>
      <c r="F32" s="76">
        <v>892702234.54829323</v>
      </c>
      <c r="G32" s="76">
        <v>246126891.24573842</v>
      </c>
      <c r="H32" s="76">
        <v>2429000000</v>
      </c>
      <c r="I32" s="76">
        <v>1146000000</v>
      </c>
      <c r="J32" s="76">
        <v>768500000</v>
      </c>
      <c r="K32" s="76">
        <v>0</v>
      </c>
      <c r="L32" s="76">
        <v>140000000</v>
      </c>
      <c r="M32" s="76">
        <v>20000000</v>
      </c>
      <c r="N32" s="76">
        <v>0</v>
      </c>
      <c r="O32" s="76">
        <v>95100000</v>
      </c>
      <c r="P32" s="76">
        <v>40000000</v>
      </c>
      <c r="Q32" s="76">
        <v>45000000</v>
      </c>
      <c r="R32" s="76">
        <v>190900000</v>
      </c>
      <c r="S32" s="76">
        <v>22000000</v>
      </c>
      <c r="T32" s="267">
        <f t="shared" si="6"/>
        <v>679000000</v>
      </c>
      <c r="V32" s="206">
        <f t="shared" si="0"/>
        <v>5482329125.7940311</v>
      </c>
      <c r="W32" s="208">
        <f t="shared" si="1"/>
        <v>160000000</v>
      </c>
      <c r="X32" s="208">
        <f t="shared" si="2"/>
        <v>135100000</v>
      </c>
      <c r="Y32" s="208">
        <f t="shared" si="3"/>
        <v>257900000</v>
      </c>
      <c r="Z32" s="246">
        <f t="shared" si="4"/>
        <v>6035329125.7940311</v>
      </c>
    </row>
    <row r="33" spans="1:26">
      <c r="A33" s="205">
        <v>40137</v>
      </c>
      <c r="B33" s="210" t="b">
        <f t="shared" si="5"/>
        <v>1</v>
      </c>
      <c r="C33" s="76">
        <v>0</v>
      </c>
      <c r="D33" s="76">
        <v>0</v>
      </c>
      <c r="E33" s="76">
        <v>0</v>
      </c>
      <c r="F33" s="76">
        <v>596290538.80618024</v>
      </c>
      <c r="G33" s="76">
        <v>164403236.50570175</v>
      </c>
      <c r="H33" s="76">
        <v>2429000000</v>
      </c>
      <c r="I33" s="76">
        <v>1146000000</v>
      </c>
      <c r="J33" s="76">
        <v>768500000</v>
      </c>
      <c r="K33" s="76">
        <v>0</v>
      </c>
      <c r="L33" s="76">
        <v>140000000</v>
      </c>
      <c r="M33" s="76">
        <v>20000000</v>
      </c>
      <c r="N33" s="76">
        <v>0</v>
      </c>
      <c r="O33" s="76">
        <v>95100000</v>
      </c>
      <c r="P33" s="76">
        <v>40000000</v>
      </c>
      <c r="Q33" s="76">
        <v>45000000</v>
      </c>
      <c r="R33" s="76">
        <v>190900000</v>
      </c>
      <c r="S33" s="76">
        <v>22000000</v>
      </c>
      <c r="T33" s="267">
        <f t="shared" si="6"/>
        <v>679000000</v>
      </c>
      <c r="V33" s="206">
        <f t="shared" si="0"/>
        <v>5104193775.311882</v>
      </c>
      <c r="W33" s="208">
        <f t="shared" si="1"/>
        <v>160000000</v>
      </c>
      <c r="X33" s="208">
        <f t="shared" si="2"/>
        <v>135100000</v>
      </c>
      <c r="Y33" s="208">
        <f t="shared" si="3"/>
        <v>257900000</v>
      </c>
      <c r="Z33" s="246">
        <f t="shared" si="4"/>
        <v>5657193775.311882</v>
      </c>
    </row>
    <row r="34" spans="1:26">
      <c r="A34" s="205">
        <v>40167</v>
      </c>
      <c r="B34" s="210" t="b">
        <f t="shared" si="5"/>
        <v>0</v>
      </c>
      <c r="C34" s="76">
        <v>0</v>
      </c>
      <c r="D34" s="76">
        <v>0</v>
      </c>
      <c r="E34" s="76">
        <v>0</v>
      </c>
      <c r="F34" s="76">
        <v>596290538.80618024</v>
      </c>
      <c r="G34" s="76">
        <v>164403236.50570175</v>
      </c>
      <c r="H34" s="76">
        <v>2429000000</v>
      </c>
      <c r="I34" s="76">
        <v>1146000000</v>
      </c>
      <c r="J34" s="76">
        <v>768500000</v>
      </c>
      <c r="K34" s="76">
        <v>0</v>
      </c>
      <c r="L34" s="76">
        <v>140000000</v>
      </c>
      <c r="M34" s="76">
        <v>20000000</v>
      </c>
      <c r="N34" s="76">
        <v>0</v>
      </c>
      <c r="O34" s="76">
        <v>95100000</v>
      </c>
      <c r="P34" s="76">
        <v>40000000</v>
      </c>
      <c r="Q34" s="76">
        <v>45000000</v>
      </c>
      <c r="R34" s="76">
        <v>190900000</v>
      </c>
      <c r="S34" s="76">
        <v>22000000</v>
      </c>
      <c r="T34" s="267">
        <f t="shared" si="6"/>
        <v>679000000</v>
      </c>
      <c r="V34" s="206">
        <f t="shared" si="0"/>
        <v>5104193775.311882</v>
      </c>
      <c r="W34" s="208">
        <f t="shared" si="1"/>
        <v>160000000</v>
      </c>
      <c r="X34" s="208">
        <f t="shared" si="2"/>
        <v>135100000</v>
      </c>
      <c r="Y34" s="208">
        <f t="shared" si="3"/>
        <v>257900000</v>
      </c>
      <c r="Z34" s="246">
        <f t="shared" si="4"/>
        <v>5657193775.311882</v>
      </c>
    </row>
    <row r="35" spans="1:26">
      <c r="A35" s="205">
        <v>40198</v>
      </c>
      <c r="B35" s="210" t="b">
        <f t="shared" si="5"/>
        <v>0</v>
      </c>
      <c r="C35" s="76">
        <v>0</v>
      </c>
      <c r="D35" s="76">
        <v>0</v>
      </c>
      <c r="E35" s="76">
        <v>0</v>
      </c>
      <c r="F35" s="76">
        <v>596290538.80618024</v>
      </c>
      <c r="G35" s="76">
        <v>164403236.50570175</v>
      </c>
      <c r="H35" s="76">
        <v>2429000000</v>
      </c>
      <c r="I35" s="76">
        <v>1146000000</v>
      </c>
      <c r="J35" s="76">
        <v>768500000</v>
      </c>
      <c r="K35" s="76">
        <v>0</v>
      </c>
      <c r="L35" s="185">
        <v>140000000</v>
      </c>
      <c r="M35" s="76">
        <v>20000000</v>
      </c>
      <c r="N35" s="76">
        <v>0</v>
      </c>
      <c r="O35" s="76">
        <v>95100000</v>
      </c>
      <c r="P35" s="76">
        <v>40000000</v>
      </c>
      <c r="Q35" s="76">
        <v>45000000</v>
      </c>
      <c r="R35" s="76">
        <v>190900000</v>
      </c>
      <c r="S35" s="76">
        <v>22000000</v>
      </c>
      <c r="T35" s="267">
        <f t="shared" si="6"/>
        <v>679000000</v>
      </c>
      <c r="V35" s="206">
        <f t="shared" ref="V35:V69" si="7">SUM(C35:J35)</f>
        <v>5104193775.311882</v>
      </c>
      <c r="W35" s="208">
        <f t="shared" ref="W35:W69" si="8">SUM(K35:M35)</f>
        <v>160000000</v>
      </c>
      <c r="X35" s="208">
        <f t="shared" ref="X35:X69" si="9">SUM(N35:P35)</f>
        <v>135100000</v>
      </c>
      <c r="Y35" s="208">
        <f t="shared" ref="Y35:Y69" si="10">SUM(Q35:S35)</f>
        <v>257900000</v>
      </c>
      <c r="Z35" s="246">
        <f t="shared" ref="Z35:Z66" si="11">SUM(V35:Y35)</f>
        <v>5657193775.311882</v>
      </c>
    </row>
    <row r="36" spans="1:26">
      <c r="A36" s="205">
        <v>40231</v>
      </c>
      <c r="B36" s="210" t="b">
        <f t="shared" ref="B36:B67" si="12">MOD(MONTH(A36),3)=2</f>
        <v>1</v>
      </c>
      <c r="C36" s="76">
        <v>0</v>
      </c>
      <c r="D36" s="76">
        <v>0</v>
      </c>
      <c r="E36" s="76">
        <v>0</v>
      </c>
      <c r="F36" s="76">
        <v>315961664.74767447</v>
      </c>
      <c r="G36" s="76">
        <v>87113775.778239444</v>
      </c>
      <c r="H36" s="76">
        <v>2429000000</v>
      </c>
      <c r="I36" s="76">
        <v>1146000000</v>
      </c>
      <c r="J36" s="76">
        <v>768500000</v>
      </c>
      <c r="K36" s="211">
        <v>0</v>
      </c>
      <c r="L36" s="683">
        <v>74183020.165363654</v>
      </c>
      <c r="M36" s="212">
        <v>10597574.309337664</v>
      </c>
      <c r="N36" s="211">
        <v>0</v>
      </c>
      <c r="O36" s="212">
        <v>50391465.8409006</v>
      </c>
      <c r="P36" s="212">
        <v>21195148.618675329</v>
      </c>
      <c r="Q36" s="212">
        <v>23844542.196009748</v>
      </c>
      <c r="R36" s="212">
        <v>101153846.78262801</v>
      </c>
      <c r="S36" s="212">
        <v>11657331.740271432</v>
      </c>
      <c r="T36" s="267">
        <f t="shared" si="6"/>
        <v>679000000</v>
      </c>
      <c r="V36" s="206">
        <f t="shared" si="7"/>
        <v>4746575440.5259132</v>
      </c>
      <c r="W36" s="208">
        <f t="shared" si="8"/>
        <v>84780594.474701315</v>
      </c>
      <c r="X36" s="208">
        <f t="shared" si="9"/>
        <v>71586614.459575921</v>
      </c>
      <c r="Y36" s="208">
        <f t="shared" si="10"/>
        <v>136655720.71890917</v>
      </c>
      <c r="Z36" s="246">
        <f t="shared" si="11"/>
        <v>5039598370.1790991</v>
      </c>
    </row>
    <row r="37" spans="1:26">
      <c r="A37" s="205">
        <v>40257</v>
      </c>
      <c r="B37" s="210" t="b">
        <f t="shared" si="12"/>
        <v>0</v>
      </c>
      <c r="C37" s="76">
        <v>0</v>
      </c>
      <c r="D37" s="76">
        <v>0</v>
      </c>
      <c r="E37" s="76">
        <v>0</v>
      </c>
      <c r="F37" s="76">
        <v>315961664.74767447</v>
      </c>
      <c r="G37" s="76">
        <v>87113775.778239444</v>
      </c>
      <c r="H37" s="76">
        <v>2429000000</v>
      </c>
      <c r="I37" s="76">
        <v>1146000000</v>
      </c>
      <c r="J37" s="76">
        <v>768500000</v>
      </c>
      <c r="K37" s="76">
        <v>0</v>
      </c>
      <c r="L37" s="185">
        <v>74183020.165363654</v>
      </c>
      <c r="M37" s="76">
        <v>10597574.309337664</v>
      </c>
      <c r="N37" s="76">
        <v>0</v>
      </c>
      <c r="O37" s="76">
        <v>50391465.8409006</v>
      </c>
      <c r="P37" s="76">
        <v>21195148.618675329</v>
      </c>
      <c r="Q37" s="76">
        <v>23844542.196009748</v>
      </c>
      <c r="R37" s="185">
        <v>101153846.78262801</v>
      </c>
      <c r="S37" s="76">
        <v>11657331.740271432</v>
      </c>
      <c r="T37" s="267">
        <f t="shared" si="6"/>
        <v>679000000</v>
      </c>
      <c r="V37" s="206">
        <f t="shared" si="7"/>
        <v>4746575440.5259132</v>
      </c>
      <c r="W37" s="208">
        <f t="shared" si="8"/>
        <v>84780594.474701315</v>
      </c>
      <c r="X37" s="208">
        <f t="shared" si="9"/>
        <v>71586614.459575921</v>
      </c>
      <c r="Y37" s="208">
        <f t="shared" si="10"/>
        <v>136655720.71890917</v>
      </c>
      <c r="Z37" s="246">
        <f t="shared" si="11"/>
        <v>5039598370.1790991</v>
      </c>
    </row>
    <row r="38" spans="1:26">
      <c r="A38" s="205">
        <v>40288</v>
      </c>
      <c r="B38" s="210" t="b">
        <f t="shared" si="12"/>
        <v>0</v>
      </c>
      <c r="C38" s="76">
        <v>0</v>
      </c>
      <c r="D38" s="76">
        <v>0</v>
      </c>
      <c r="E38" s="76">
        <v>0</v>
      </c>
      <c r="F38" s="76">
        <v>315961664.74767447</v>
      </c>
      <c r="G38" s="76">
        <f>87113775.7782394</f>
        <v>87113775.778239399</v>
      </c>
      <c r="H38" s="76">
        <v>2429000000</v>
      </c>
      <c r="I38" s="76">
        <v>1146000000</v>
      </c>
      <c r="J38" s="76">
        <v>768500000</v>
      </c>
      <c r="K38" s="76">
        <v>0</v>
      </c>
      <c r="L38" s="185">
        <v>74183020.165363654</v>
      </c>
      <c r="M38" s="76">
        <v>10597574.309337664</v>
      </c>
      <c r="N38" s="76">
        <v>0</v>
      </c>
      <c r="O38" s="185">
        <v>50391465.8409006</v>
      </c>
      <c r="P38" s="185">
        <v>21195148.618675329</v>
      </c>
      <c r="Q38" s="185">
        <v>23844542.196009748</v>
      </c>
      <c r="R38" s="76">
        <v>101153846.78262801</v>
      </c>
      <c r="S38" s="185">
        <v>11657331.740271432</v>
      </c>
      <c r="T38" s="267">
        <f t="shared" si="6"/>
        <v>679000000</v>
      </c>
      <c r="V38" s="206">
        <f t="shared" si="7"/>
        <v>4746575440.5259132</v>
      </c>
      <c r="W38" s="208">
        <f t="shared" si="8"/>
        <v>84780594.474701315</v>
      </c>
      <c r="X38" s="208">
        <f t="shared" si="9"/>
        <v>71586614.459575921</v>
      </c>
      <c r="Y38" s="208">
        <f t="shared" si="10"/>
        <v>136655720.71890917</v>
      </c>
      <c r="Z38" s="246">
        <f t="shared" si="11"/>
        <v>5039598370.1790991</v>
      </c>
    </row>
    <row r="39" spans="1:26">
      <c r="A39" s="205">
        <v>40318</v>
      </c>
      <c r="B39" s="210" t="b">
        <f t="shared" si="12"/>
        <v>1</v>
      </c>
      <c r="C39" s="76">
        <v>0</v>
      </c>
      <c r="D39" s="76">
        <v>0</v>
      </c>
      <c r="E39" s="76">
        <v>0</v>
      </c>
      <c r="F39" s="76">
        <v>50842984.345534615</v>
      </c>
      <c r="G39" s="76">
        <f>14017916.8308615</f>
        <v>14017916.8308615</v>
      </c>
      <c r="H39" s="76">
        <v>2429000000</v>
      </c>
      <c r="I39" s="76">
        <v>1146000000</v>
      </c>
      <c r="J39" s="76">
        <v>768500000</v>
      </c>
      <c r="K39" s="76">
        <v>0</v>
      </c>
      <c r="L39" s="216">
        <v>0</v>
      </c>
      <c r="M39" s="216">
        <v>0</v>
      </c>
      <c r="N39" s="216">
        <v>0</v>
      </c>
      <c r="O39" s="216">
        <v>0</v>
      </c>
      <c r="P39" s="216">
        <v>0</v>
      </c>
      <c r="Q39" s="216">
        <v>0</v>
      </c>
      <c r="R39" s="216">
        <v>0</v>
      </c>
      <c r="S39" s="76">
        <v>0</v>
      </c>
      <c r="T39" s="267">
        <f t="shared" si="6"/>
        <v>679000000</v>
      </c>
      <c r="V39" s="206">
        <f t="shared" si="7"/>
        <v>4408360901.1763954</v>
      </c>
      <c r="W39" s="208">
        <f t="shared" si="8"/>
        <v>0</v>
      </c>
      <c r="X39" s="208">
        <f t="shared" si="9"/>
        <v>0</v>
      </c>
      <c r="Y39" s="208">
        <f t="shared" si="10"/>
        <v>0</v>
      </c>
      <c r="Z39" s="246">
        <f t="shared" si="11"/>
        <v>4408360901.1763954</v>
      </c>
    </row>
    <row r="40" spans="1:26">
      <c r="A40" s="205">
        <v>40349</v>
      </c>
      <c r="B40" s="210" t="b">
        <f t="shared" si="12"/>
        <v>0</v>
      </c>
      <c r="C40" s="76">
        <v>0</v>
      </c>
      <c r="D40" s="76">
        <v>0</v>
      </c>
      <c r="E40" s="76">
        <v>0</v>
      </c>
      <c r="F40" s="76">
        <v>50842984.345534615</v>
      </c>
      <c r="G40" s="76">
        <v>14017916.830861486</v>
      </c>
      <c r="H40" s="76">
        <v>2429000000</v>
      </c>
      <c r="I40" s="76">
        <v>1146000000</v>
      </c>
      <c r="J40" s="76">
        <v>768500000</v>
      </c>
      <c r="K40" s="76">
        <v>0</v>
      </c>
      <c r="L40" s="76">
        <v>0</v>
      </c>
      <c r="M40" s="76">
        <v>0</v>
      </c>
      <c r="N40" s="76">
        <v>0</v>
      </c>
      <c r="O40" s="76">
        <v>0</v>
      </c>
      <c r="P40" s="76">
        <v>0</v>
      </c>
      <c r="Q40" s="76">
        <v>0</v>
      </c>
      <c r="R40" s="76">
        <v>0</v>
      </c>
      <c r="S40" s="76">
        <v>0</v>
      </c>
      <c r="T40" s="267">
        <f t="shared" si="6"/>
        <v>679000000</v>
      </c>
      <c r="V40" s="206">
        <f t="shared" si="7"/>
        <v>4408360901.1763954</v>
      </c>
      <c r="W40" s="208">
        <f t="shared" si="8"/>
        <v>0</v>
      </c>
      <c r="X40" s="208">
        <f t="shared" si="9"/>
        <v>0</v>
      </c>
      <c r="Y40" s="208">
        <f t="shared" si="10"/>
        <v>0</v>
      </c>
      <c r="Z40" s="246">
        <f t="shared" si="11"/>
        <v>4408360901.1763954</v>
      </c>
    </row>
    <row r="41" spans="1:26">
      <c r="A41" s="205">
        <v>40379</v>
      </c>
      <c r="B41" s="210" t="b">
        <f t="shared" si="12"/>
        <v>0</v>
      </c>
      <c r="C41" s="76">
        <v>0</v>
      </c>
      <c r="D41" s="76">
        <v>0</v>
      </c>
      <c r="E41" s="76">
        <v>0</v>
      </c>
      <c r="F41" s="76">
        <v>50842984.345534615</v>
      </c>
      <c r="G41" s="76">
        <v>14017916.830861486</v>
      </c>
      <c r="H41" s="76">
        <v>2429000000</v>
      </c>
      <c r="I41" s="76">
        <v>1146000000</v>
      </c>
      <c r="J41" s="76">
        <v>768500000</v>
      </c>
      <c r="K41" s="76">
        <v>0</v>
      </c>
      <c r="L41" s="76">
        <v>0</v>
      </c>
      <c r="M41" s="76">
        <v>0</v>
      </c>
      <c r="N41" s="76">
        <v>0</v>
      </c>
      <c r="O41" s="76">
        <v>0</v>
      </c>
      <c r="P41" s="76">
        <v>0</v>
      </c>
      <c r="Q41" s="76">
        <v>0</v>
      </c>
      <c r="R41" s="76">
        <v>0</v>
      </c>
      <c r="S41" s="76">
        <v>0</v>
      </c>
      <c r="T41" s="267">
        <f t="shared" si="6"/>
        <v>679000000</v>
      </c>
      <c r="V41" s="206">
        <f t="shared" si="7"/>
        <v>4408360901.1763954</v>
      </c>
      <c r="W41" s="208">
        <f t="shared" si="8"/>
        <v>0</v>
      </c>
      <c r="X41" s="208">
        <f t="shared" si="9"/>
        <v>0</v>
      </c>
      <c r="Y41" s="208">
        <f t="shared" si="10"/>
        <v>0</v>
      </c>
      <c r="Z41" s="246">
        <f t="shared" si="11"/>
        <v>4408360901.1763954</v>
      </c>
    </row>
    <row r="42" spans="1:26">
      <c r="A42" s="205">
        <v>40410</v>
      </c>
      <c r="B42" s="210" t="b">
        <f t="shared" si="12"/>
        <v>1</v>
      </c>
      <c r="C42" s="76">
        <v>0</v>
      </c>
      <c r="D42" s="76">
        <v>0</v>
      </c>
      <c r="E42" s="76">
        <v>0</v>
      </c>
      <c r="F42" s="76">
        <v>0</v>
      </c>
      <c r="G42" s="76">
        <v>0</v>
      </c>
      <c r="H42" s="76">
        <v>2308019618.7527909</v>
      </c>
      <c r="I42" s="76">
        <v>1088921565.7022226</v>
      </c>
      <c r="J42" s="76">
        <v>730223580.49053931</v>
      </c>
      <c r="K42" s="76">
        <v>0</v>
      </c>
      <c r="L42" s="76">
        <v>0</v>
      </c>
      <c r="M42" s="76">
        <v>0</v>
      </c>
      <c r="N42" s="76">
        <v>0</v>
      </c>
      <c r="O42" s="76">
        <v>0</v>
      </c>
      <c r="P42" s="76">
        <v>0</v>
      </c>
      <c r="Q42" s="76">
        <v>0</v>
      </c>
      <c r="R42" s="76">
        <v>0</v>
      </c>
      <c r="S42" s="76">
        <v>0</v>
      </c>
      <c r="T42" s="267">
        <f t="shared" si="6"/>
        <v>645181276.71187532</v>
      </c>
      <c r="V42" s="206">
        <f t="shared" si="7"/>
        <v>4127164764.9455528</v>
      </c>
      <c r="W42" s="208">
        <f t="shared" si="8"/>
        <v>0</v>
      </c>
      <c r="X42" s="208">
        <f t="shared" si="9"/>
        <v>0</v>
      </c>
      <c r="Y42" s="208">
        <f t="shared" si="10"/>
        <v>0</v>
      </c>
      <c r="Z42" s="246">
        <f t="shared" si="11"/>
        <v>4127164764.9455528</v>
      </c>
    </row>
    <row r="43" spans="1:26">
      <c r="A43" s="205">
        <v>40441</v>
      </c>
      <c r="B43" s="210" t="b">
        <f t="shared" si="12"/>
        <v>0</v>
      </c>
      <c r="C43" s="76">
        <v>0</v>
      </c>
      <c r="D43" s="76">
        <v>0</v>
      </c>
      <c r="E43" s="76">
        <v>0</v>
      </c>
      <c r="F43" s="76">
        <v>0</v>
      </c>
      <c r="G43" s="76">
        <v>0</v>
      </c>
      <c r="H43" s="76">
        <v>2308019618.7527909</v>
      </c>
      <c r="I43" s="76">
        <v>1088921565.7022226</v>
      </c>
      <c r="J43" s="76">
        <v>730223580.49053931</v>
      </c>
      <c r="K43" s="76">
        <v>0</v>
      </c>
      <c r="L43" s="76">
        <v>0</v>
      </c>
      <c r="M43" s="76">
        <v>0</v>
      </c>
      <c r="N43" s="76">
        <v>0</v>
      </c>
      <c r="O43" s="76">
        <v>0</v>
      </c>
      <c r="P43" s="76">
        <v>0</v>
      </c>
      <c r="Q43" s="76">
        <v>0</v>
      </c>
      <c r="R43" s="76">
        <v>0</v>
      </c>
      <c r="S43" s="76">
        <v>0</v>
      </c>
      <c r="T43" s="267">
        <f t="shared" si="6"/>
        <v>645181276.71187532</v>
      </c>
      <c r="V43" s="206">
        <f t="shared" si="7"/>
        <v>4127164764.9455528</v>
      </c>
      <c r="W43" s="208">
        <f t="shared" si="8"/>
        <v>0</v>
      </c>
      <c r="X43" s="208">
        <f t="shared" si="9"/>
        <v>0</v>
      </c>
      <c r="Y43" s="208">
        <f t="shared" si="10"/>
        <v>0</v>
      </c>
      <c r="Z43" s="246">
        <f t="shared" si="11"/>
        <v>4127164764.9455528</v>
      </c>
    </row>
    <row r="44" spans="1:26">
      <c r="A44" s="205">
        <v>40471</v>
      </c>
      <c r="B44" s="210" t="b">
        <f t="shared" si="12"/>
        <v>0</v>
      </c>
      <c r="C44" s="76">
        <v>0</v>
      </c>
      <c r="D44" s="76">
        <v>0</v>
      </c>
      <c r="E44" s="76">
        <v>0</v>
      </c>
      <c r="F44" s="76">
        <v>0</v>
      </c>
      <c r="G44" s="76">
        <v>0</v>
      </c>
      <c r="H44" s="76">
        <v>2308019618.7527909</v>
      </c>
      <c r="I44" s="76">
        <v>1088921565.7022226</v>
      </c>
      <c r="J44" s="76">
        <v>730223580.49053931</v>
      </c>
      <c r="K44" s="76">
        <v>0</v>
      </c>
      <c r="L44" s="76">
        <v>0</v>
      </c>
      <c r="M44" s="76">
        <v>0</v>
      </c>
      <c r="N44" s="76">
        <v>0</v>
      </c>
      <c r="O44" s="76">
        <v>0</v>
      </c>
      <c r="P44" s="76">
        <v>0</v>
      </c>
      <c r="Q44" s="76">
        <v>0</v>
      </c>
      <c r="R44" s="76">
        <v>0</v>
      </c>
      <c r="S44" s="76">
        <v>0</v>
      </c>
      <c r="T44" s="267">
        <f t="shared" si="6"/>
        <v>645181276.71187532</v>
      </c>
      <c r="V44" s="206">
        <f t="shared" si="7"/>
        <v>4127164764.9455528</v>
      </c>
      <c r="W44" s="208">
        <f t="shared" si="8"/>
        <v>0</v>
      </c>
      <c r="X44" s="208">
        <f t="shared" si="9"/>
        <v>0</v>
      </c>
      <c r="Y44" s="208">
        <f t="shared" si="10"/>
        <v>0</v>
      </c>
      <c r="Z44" s="246">
        <f t="shared" si="11"/>
        <v>4127164764.9455528</v>
      </c>
    </row>
    <row r="45" spans="1:26">
      <c r="A45" s="205">
        <v>40504</v>
      </c>
      <c r="B45" s="210" t="b">
        <f t="shared" si="12"/>
        <v>1</v>
      </c>
      <c r="C45" s="76">
        <v>0</v>
      </c>
      <c r="D45" s="76">
        <v>0</v>
      </c>
      <c r="E45" s="76">
        <v>0</v>
      </c>
      <c r="F45" s="76">
        <v>0</v>
      </c>
      <c r="G45" s="76">
        <v>0</v>
      </c>
      <c r="H45" s="76">
        <v>2164501245.7189631</v>
      </c>
      <c r="I45" s="76">
        <v>1021209727.292685</v>
      </c>
      <c r="J45" s="76">
        <v>684816470.70194447</v>
      </c>
      <c r="K45" s="76">
        <v>0</v>
      </c>
      <c r="L45" s="76">
        <v>0</v>
      </c>
      <c r="M45" s="76">
        <v>0</v>
      </c>
      <c r="N45" s="76">
        <v>0</v>
      </c>
      <c r="O45" s="76">
        <v>0</v>
      </c>
      <c r="P45" s="76">
        <v>0</v>
      </c>
      <c r="Q45" s="76">
        <v>0</v>
      </c>
      <c r="R45" s="76">
        <v>0</v>
      </c>
      <c r="S45" s="76">
        <v>0</v>
      </c>
      <c r="T45" s="267">
        <f t="shared" si="6"/>
        <v>605062307.8810935</v>
      </c>
      <c r="V45" s="206">
        <f t="shared" si="7"/>
        <v>3870527443.7135925</v>
      </c>
      <c r="W45" s="208">
        <f t="shared" si="8"/>
        <v>0</v>
      </c>
      <c r="X45" s="208">
        <f t="shared" si="9"/>
        <v>0</v>
      </c>
      <c r="Y45" s="208">
        <f t="shared" si="10"/>
        <v>0</v>
      </c>
      <c r="Z45" s="246">
        <f t="shared" si="11"/>
        <v>3870527443.7135925</v>
      </c>
    </row>
    <row r="46" spans="1:26">
      <c r="A46" s="205">
        <v>40532</v>
      </c>
      <c r="B46" s="210" t="b">
        <f t="shared" si="12"/>
        <v>0</v>
      </c>
      <c r="C46" s="76">
        <v>0</v>
      </c>
      <c r="D46" s="76">
        <v>0</v>
      </c>
      <c r="E46" s="76">
        <v>0</v>
      </c>
      <c r="F46" s="76">
        <v>0</v>
      </c>
      <c r="G46" s="76">
        <v>0</v>
      </c>
      <c r="H46" s="76">
        <v>2164501245.7189631</v>
      </c>
      <c r="I46" s="76">
        <v>1021209727.292685</v>
      </c>
      <c r="J46" s="76">
        <v>684816470.70194447</v>
      </c>
      <c r="K46" s="76">
        <v>0</v>
      </c>
      <c r="L46" s="76">
        <v>0</v>
      </c>
      <c r="M46" s="76">
        <v>0</v>
      </c>
      <c r="N46" s="76">
        <v>0</v>
      </c>
      <c r="O46" s="76">
        <v>0</v>
      </c>
      <c r="P46" s="76">
        <v>0</v>
      </c>
      <c r="Q46" s="76">
        <v>0</v>
      </c>
      <c r="R46" s="76">
        <v>0</v>
      </c>
      <c r="S46" s="76">
        <v>0</v>
      </c>
      <c r="T46" s="267">
        <f t="shared" si="6"/>
        <v>605062307.8810935</v>
      </c>
      <c r="V46" s="206">
        <f t="shared" si="7"/>
        <v>3870527443.7135925</v>
      </c>
      <c r="W46" s="208">
        <f t="shared" si="8"/>
        <v>0</v>
      </c>
      <c r="X46" s="208">
        <f t="shared" si="9"/>
        <v>0</v>
      </c>
      <c r="Y46" s="208">
        <f t="shared" si="10"/>
        <v>0</v>
      </c>
      <c r="Z46" s="246">
        <f t="shared" si="11"/>
        <v>3870527443.7135925</v>
      </c>
    </row>
    <row r="47" spans="1:26">
      <c r="A47" s="205">
        <v>40563</v>
      </c>
      <c r="B47" s="210" t="b">
        <f t="shared" si="12"/>
        <v>0</v>
      </c>
      <c r="C47" s="76">
        <v>0</v>
      </c>
      <c r="D47" s="76">
        <v>0</v>
      </c>
      <c r="E47" s="76">
        <v>0</v>
      </c>
      <c r="F47" s="76">
        <v>0</v>
      </c>
      <c r="G47" s="76">
        <v>0</v>
      </c>
      <c r="H47" s="76">
        <v>2164501245.7189631</v>
      </c>
      <c r="I47" s="76">
        <v>1021209727.292685</v>
      </c>
      <c r="J47" s="76">
        <v>684816470.70194447</v>
      </c>
      <c r="K47" s="76">
        <v>0</v>
      </c>
      <c r="L47" s="76">
        <v>0</v>
      </c>
      <c r="M47" s="76">
        <v>0</v>
      </c>
      <c r="N47" s="76">
        <v>0</v>
      </c>
      <c r="O47" s="76">
        <v>0</v>
      </c>
      <c r="P47" s="76">
        <v>0</v>
      </c>
      <c r="Q47" s="76">
        <v>0</v>
      </c>
      <c r="R47" s="76">
        <v>0</v>
      </c>
      <c r="S47" s="76">
        <v>0</v>
      </c>
      <c r="T47" s="267">
        <f t="shared" si="6"/>
        <v>605062307.8810935</v>
      </c>
      <c r="V47" s="206">
        <f t="shared" si="7"/>
        <v>3870527443.7135925</v>
      </c>
      <c r="W47" s="208">
        <f t="shared" si="8"/>
        <v>0</v>
      </c>
      <c r="X47" s="208">
        <f t="shared" si="9"/>
        <v>0</v>
      </c>
      <c r="Y47" s="208">
        <f t="shared" si="10"/>
        <v>0</v>
      </c>
      <c r="Z47" s="246">
        <f t="shared" si="11"/>
        <v>3870527443.7135925</v>
      </c>
    </row>
    <row r="48" spans="1:26">
      <c r="A48" s="205">
        <v>40596</v>
      </c>
      <c r="B48" s="210" t="b">
        <f t="shared" si="12"/>
        <v>1</v>
      </c>
      <c r="C48" s="76">
        <v>0</v>
      </c>
      <c r="D48" s="76">
        <v>0</v>
      </c>
      <c r="E48" s="76">
        <v>0</v>
      </c>
      <c r="F48" s="76">
        <v>0</v>
      </c>
      <c r="G48" s="76">
        <v>0</v>
      </c>
      <c r="H48" s="76">
        <v>2028769948.6844332</v>
      </c>
      <c r="I48" s="76">
        <v>957171824.28668606</v>
      </c>
      <c r="J48" s="76">
        <v>641873077.63029516</v>
      </c>
      <c r="K48" s="76">
        <v>0</v>
      </c>
      <c r="L48" s="76">
        <v>0</v>
      </c>
      <c r="M48" s="76">
        <v>0</v>
      </c>
      <c r="N48" s="76">
        <v>0</v>
      </c>
      <c r="O48" s="76">
        <v>0</v>
      </c>
      <c r="P48" s="76">
        <v>0</v>
      </c>
      <c r="Q48" s="76">
        <v>0</v>
      </c>
      <c r="R48" s="76">
        <v>0</v>
      </c>
      <c r="S48" s="76">
        <v>0</v>
      </c>
      <c r="T48" s="267">
        <f t="shared" si="6"/>
        <v>567120129.74752176</v>
      </c>
      <c r="V48" s="206">
        <f t="shared" si="7"/>
        <v>3627814850.6014147</v>
      </c>
      <c r="W48" s="208">
        <f t="shared" si="8"/>
        <v>0</v>
      </c>
      <c r="X48" s="208">
        <f t="shared" si="9"/>
        <v>0</v>
      </c>
      <c r="Y48" s="208">
        <f t="shared" si="10"/>
        <v>0</v>
      </c>
      <c r="Z48" s="246">
        <f t="shared" si="11"/>
        <v>3627814850.6014147</v>
      </c>
    </row>
    <row r="49" spans="1:26">
      <c r="A49" s="205">
        <v>40622</v>
      </c>
      <c r="B49" s="210" t="b">
        <f t="shared" si="12"/>
        <v>0</v>
      </c>
      <c r="C49" s="76">
        <v>0</v>
      </c>
      <c r="D49" s="76">
        <v>0</v>
      </c>
      <c r="E49" s="76">
        <v>0</v>
      </c>
      <c r="F49" s="76">
        <v>0</v>
      </c>
      <c r="G49" s="76">
        <v>0</v>
      </c>
      <c r="H49" s="76">
        <v>2028769948.6844332</v>
      </c>
      <c r="I49" s="76">
        <v>957171824.28668606</v>
      </c>
      <c r="J49" s="76">
        <v>641873077.63029516</v>
      </c>
      <c r="K49" s="76">
        <v>0</v>
      </c>
      <c r="L49" s="76">
        <v>0</v>
      </c>
      <c r="M49" s="76">
        <v>0</v>
      </c>
      <c r="N49" s="76">
        <v>0</v>
      </c>
      <c r="O49" s="76">
        <v>0</v>
      </c>
      <c r="P49" s="76">
        <v>0</v>
      </c>
      <c r="Q49" s="76">
        <v>0</v>
      </c>
      <c r="R49" s="76">
        <v>0</v>
      </c>
      <c r="S49" s="76">
        <v>0</v>
      </c>
      <c r="T49" s="267">
        <f t="shared" si="6"/>
        <v>567120129.74752176</v>
      </c>
      <c r="V49" s="206">
        <f t="shared" si="7"/>
        <v>3627814850.6014147</v>
      </c>
      <c r="W49" s="208">
        <f t="shared" si="8"/>
        <v>0</v>
      </c>
      <c r="X49" s="208">
        <f t="shared" si="9"/>
        <v>0</v>
      </c>
      <c r="Y49" s="208">
        <f t="shared" si="10"/>
        <v>0</v>
      </c>
      <c r="Z49" s="246">
        <f t="shared" si="11"/>
        <v>3627814850.6014147</v>
      </c>
    </row>
    <row r="50" spans="1:26">
      <c r="A50" s="205">
        <v>40653</v>
      </c>
      <c r="B50" s="210" t="b">
        <f t="shared" si="12"/>
        <v>0</v>
      </c>
      <c r="C50" s="76">
        <v>0</v>
      </c>
      <c r="D50" s="76">
        <v>0</v>
      </c>
      <c r="E50" s="76">
        <v>0</v>
      </c>
      <c r="F50" s="76">
        <v>0</v>
      </c>
      <c r="G50" s="76">
        <v>0</v>
      </c>
      <c r="H50" s="76">
        <v>2028769948.6844332</v>
      </c>
      <c r="I50" s="76">
        <v>957171824.28668606</v>
      </c>
      <c r="J50" s="76">
        <v>641873077.63029516</v>
      </c>
      <c r="K50" s="76">
        <v>0</v>
      </c>
      <c r="L50" s="76">
        <v>0</v>
      </c>
      <c r="M50" s="76">
        <v>0</v>
      </c>
      <c r="N50" s="76">
        <v>0</v>
      </c>
      <c r="O50" s="76">
        <v>0</v>
      </c>
      <c r="P50" s="76">
        <v>0</v>
      </c>
      <c r="Q50" s="76">
        <v>0</v>
      </c>
      <c r="R50" s="76">
        <v>0</v>
      </c>
      <c r="S50" s="76">
        <v>0</v>
      </c>
      <c r="T50" s="267">
        <f t="shared" si="6"/>
        <v>567120129.74752176</v>
      </c>
      <c r="V50" s="206">
        <f t="shared" si="7"/>
        <v>3627814850.6014147</v>
      </c>
      <c r="W50" s="208">
        <f t="shared" si="8"/>
        <v>0</v>
      </c>
      <c r="X50" s="208">
        <f t="shared" si="9"/>
        <v>0</v>
      </c>
      <c r="Y50" s="208">
        <f t="shared" si="10"/>
        <v>0</v>
      </c>
      <c r="Z50" s="246">
        <f t="shared" si="11"/>
        <v>3627814850.6014147</v>
      </c>
    </row>
    <row r="51" spans="1:26">
      <c r="A51" s="205">
        <v>40683</v>
      </c>
      <c r="B51" s="210" t="b">
        <f t="shared" si="12"/>
        <v>1</v>
      </c>
      <c r="C51" s="76">
        <v>0</v>
      </c>
      <c r="D51" s="76">
        <v>0</v>
      </c>
      <c r="E51" s="76">
        <v>0</v>
      </c>
      <c r="F51" s="76">
        <v>0</v>
      </c>
      <c r="G51" s="76">
        <v>0</v>
      </c>
      <c r="H51" s="76">
        <v>1900403213.4349089</v>
      </c>
      <c r="I51" s="76">
        <v>896608514.86060345</v>
      </c>
      <c r="J51" s="76">
        <v>601259723.97065771</v>
      </c>
      <c r="K51" s="76">
        <v>0</v>
      </c>
      <c r="L51" s="76">
        <v>0</v>
      </c>
      <c r="M51" s="76">
        <v>0</v>
      </c>
      <c r="N51" s="76">
        <v>0</v>
      </c>
      <c r="O51" s="76">
        <v>0</v>
      </c>
      <c r="P51" s="76">
        <v>0</v>
      </c>
      <c r="Q51" s="76">
        <v>0</v>
      </c>
      <c r="R51" s="76">
        <v>0</v>
      </c>
      <c r="S51" s="76">
        <v>0</v>
      </c>
      <c r="T51" s="267">
        <f t="shared" si="6"/>
        <v>531236633.15039247</v>
      </c>
      <c r="V51" s="206">
        <f t="shared" si="7"/>
        <v>3398271452.26617</v>
      </c>
      <c r="W51" s="208">
        <f t="shared" si="8"/>
        <v>0</v>
      </c>
      <c r="X51" s="208">
        <f t="shared" si="9"/>
        <v>0</v>
      </c>
      <c r="Y51" s="208">
        <f t="shared" si="10"/>
        <v>0</v>
      </c>
      <c r="Z51" s="246">
        <f t="shared" si="11"/>
        <v>3398271452.26617</v>
      </c>
    </row>
    <row r="52" spans="1:26">
      <c r="A52" s="205">
        <v>40714</v>
      </c>
      <c r="B52" s="210" t="b">
        <f t="shared" si="12"/>
        <v>0</v>
      </c>
      <c r="C52" s="76">
        <v>0</v>
      </c>
      <c r="D52" s="76">
        <v>0</v>
      </c>
      <c r="E52" s="76">
        <v>0</v>
      </c>
      <c r="F52" s="76">
        <v>0</v>
      </c>
      <c r="G52" s="76">
        <v>0</v>
      </c>
      <c r="H52" s="76">
        <v>1900403213.4349089</v>
      </c>
      <c r="I52" s="76">
        <v>896608514.86060345</v>
      </c>
      <c r="J52" s="76">
        <v>601259723.97065771</v>
      </c>
      <c r="K52" s="76">
        <v>0</v>
      </c>
      <c r="L52" s="76">
        <v>0</v>
      </c>
      <c r="M52" s="76">
        <v>0</v>
      </c>
      <c r="N52" s="76">
        <v>0</v>
      </c>
      <c r="O52" s="76">
        <v>0</v>
      </c>
      <c r="P52" s="76">
        <v>0</v>
      </c>
      <c r="Q52" s="76">
        <v>0</v>
      </c>
      <c r="R52" s="76">
        <v>0</v>
      </c>
      <c r="S52" s="76">
        <v>0</v>
      </c>
      <c r="T52" s="267">
        <f t="shared" si="6"/>
        <v>531236633.15039247</v>
      </c>
      <c r="V52" s="206">
        <f t="shared" si="7"/>
        <v>3398271452.26617</v>
      </c>
      <c r="W52" s="208">
        <f t="shared" si="8"/>
        <v>0</v>
      </c>
      <c r="X52" s="208">
        <f t="shared" si="9"/>
        <v>0</v>
      </c>
      <c r="Y52" s="208">
        <f t="shared" si="10"/>
        <v>0</v>
      </c>
      <c r="Z52" s="246">
        <f t="shared" si="11"/>
        <v>3398271452.26617</v>
      </c>
    </row>
    <row r="53" spans="1:26">
      <c r="A53" s="205">
        <v>40744</v>
      </c>
      <c r="B53" s="210" t="b">
        <f t="shared" si="12"/>
        <v>0</v>
      </c>
      <c r="C53" s="76">
        <v>0</v>
      </c>
      <c r="D53" s="76">
        <v>0</v>
      </c>
      <c r="E53" s="76">
        <v>0</v>
      </c>
      <c r="F53" s="76">
        <v>0</v>
      </c>
      <c r="G53" s="76">
        <v>0</v>
      </c>
      <c r="H53" s="76">
        <v>1900403213.4349089</v>
      </c>
      <c r="I53" s="76">
        <v>896608514.86060345</v>
      </c>
      <c r="J53" s="76">
        <v>601259723.97065771</v>
      </c>
      <c r="K53" s="76">
        <v>0</v>
      </c>
      <c r="L53" s="76">
        <v>0</v>
      </c>
      <c r="M53" s="76">
        <v>0</v>
      </c>
      <c r="N53" s="76">
        <v>0</v>
      </c>
      <c r="O53" s="76">
        <v>0</v>
      </c>
      <c r="P53" s="76">
        <v>0</v>
      </c>
      <c r="Q53" s="76">
        <v>0</v>
      </c>
      <c r="R53" s="76">
        <v>0</v>
      </c>
      <c r="S53" s="76">
        <v>0</v>
      </c>
      <c r="T53" s="267">
        <f t="shared" si="6"/>
        <v>531236633.15039247</v>
      </c>
      <c r="V53" s="206">
        <f t="shared" si="7"/>
        <v>3398271452.26617</v>
      </c>
      <c r="W53" s="208">
        <f t="shared" si="8"/>
        <v>0</v>
      </c>
      <c r="X53" s="208">
        <f t="shared" si="9"/>
        <v>0</v>
      </c>
      <c r="Y53" s="208">
        <f t="shared" si="10"/>
        <v>0</v>
      </c>
      <c r="Z53" s="246">
        <f t="shared" si="11"/>
        <v>3398271452.26617</v>
      </c>
    </row>
    <row r="54" spans="1:26">
      <c r="A54" s="205">
        <v>40777</v>
      </c>
      <c r="B54" s="210" t="b">
        <f t="shared" si="12"/>
        <v>1</v>
      </c>
      <c r="C54" s="76">
        <v>0</v>
      </c>
      <c r="D54" s="76">
        <v>0</v>
      </c>
      <c r="E54" s="76">
        <v>0</v>
      </c>
      <c r="F54" s="76">
        <v>0</v>
      </c>
      <c r="G54" s="76">
        <v>0</v>
      </c>
      <c r="H54" s="76">
        <v>1779001450.6975391</v>
      </c>
      <c r="I54" s="76">
        <v>839331273.15742266</v>
      </c>
      <c r="J54" s="76">
        <v>562849985.53357708</v>
      </c>
      <c r="K54" s="76">
        <v>0</v>
      </c>
      <c r="L54" s="76">
        <v>0</v>
      </c>
      <c r="M54" s="76">
        <v>0</v>
      </c>
      <c r="N54" s="76">
        <v>0</v>
      </c>
      <c r="O54" s="76">
        <v>0</v>
      </c>
      <c r="P54" s="76">
        <v>0</v>
      </c>
      <c r="Q54" s="76">
        <v>0</v>
      </c>
      <c r="R54" s="76">
        <v>0</v>
      </c>
      <c r="S54" s="76">
        <v>0</v>
      </c>
      <c r="T54" s="267">
        <f t="shared" si="6"/>
        <v>497300117.34196347</v>
      </c>
      <c r="V54" s="206">
        <f t="shared" si="7"/>
        <v>3181182709.3885388</v>
      </c>
      <c r="W54" s="208">
        <f t="shared" si="8"/>
        <v>0</v>
      </c>
      <c r="X54" s="208">
        <f t="shared" si="9"/>
        <v>0</v>
      </c>
      <c r="Y54" s="208">
        <f t="shared" si="10"/>
        <v>0</v>
      </c>
      <c r="Z54" s="246">
        <f t="shared" si="11"/>
        <v>3181182709.3885388</v>
      </c>
    </row>
    <row r="55" spans="1:26">
      <c r="A55" s="205">
        <v>40806</v>
      </c>
      <c r="B55" s="210" t="b">
        <f t="shared" si="12"/>
        <v>0</v>
      </c>
      <c r="C55" s="76">
        <v>0</v>
      </c>
      <c r="D55" s="76">
        <v>0</v>
      </c>
      <c r="E55" s="76">
        <v>0</v>
      </c>
      <c r="F55" s="76">
        <v>0</v>
      </c>
      <c r="G55" s="76">
        <v>0</v>
      </c>
      <c r="H55" s="76">
        <v>1779001450.6975391</v>
      </c>
      <c r="I55" s="76">
        <v>839331273.15742266</v>
      </c>
      <c r="J55" s="76">
        <v>562849985.53357708</v>
      </c>
      <c r="K55" s="76">
        <v>0</v>
      </c>
      <c r="L55" s="76">
        <v>0</v>
      </c>
      <c r="M55" s="76">
        <v>0</v>
      </c>
      <c r="N55" s="76">
        <v>0</v>
      </c>
      <c r="O55" s="76">
        <v>0</v>
      </c>
      <c r="P55" s="76">
        <v>0</v>
      </c>
      <c r="Q55" s="76">
        <v>0</v>
      </c>
      <c r="R55" s="76">
        <v>0</v>
      </c>
      <c r="S55" s="76">
        <v>0</v>
      </c>
      <c r="T55" s="267">
        <f t="shared" si="6"/>
        <v>497300117.34196347</v>
      </c>
      <c r="V55" s="206">
        <f t="shared" si="7"/>
        <v>3181182709.3885388</v>
      </c>
      <c r="W55" s="208">
        <f t="shared" si="8"/>
        <v>0</v>
      </c>
      <c r="X55" s="208">
        <f t="shared" si="9"/>
        <v>0</v>
      </c>
      <c r="Y55" s="208">
        <f t="shared" si="10"/>
        <v>0</v>
      </c>
      <c r="Z55" s="246">
        <f t="shared" si="11"/>
        <v>3181182709.3885388</v>
      </c>
    </row>
    <row r="56" spans="1:26">
      <c r="A56" s="205">
        <v>40836</v>
      </c>
      <c r="B56" s="210" t="b">
        <f t="shared" si="12"/>
        <v>0</v>
      </c>
      <c r="C56" s="76">
        <v>0</v>
      </c>
      <c r="D56" s="76">
        <v>0</v>
      </c>
      <c r="E56" s="76">
        <v>0</v>
      </c>
      <c r="F56" s="76">
        <v>0</v>
      </c>
      <c r="G56" s="76">
        <v>0</v>
      </c>
      <c r="H56" s="76">
        <v>1779001450.6975391</v>
      </c>
      <c r="I56" s="76">
        <v>839331273.15742266</v>
      </c>
      <c r="J56" s="76">
        <v>562849985.53357708</v>
      </c>
      <c r="K56" s="76">
        <v>0</v>
      </c>
      <c r="L56" s="76">
        <v>0</v>
      </c>
      <c r="M56" s="76">
        <v>0</v>
      </c>
      <c r="N56" s="76">
        <v>0</v>
      </c>
      <c r="O56" s="76">
        <v>0</v>
      </c>
      <c r="P56" s="76">
        <v>0</v>
      </c>
      <c r="Q56" s="76">
        <v>0</v>
      </c>
      <c r="R56" s="76">
        <v>0</v>
      </c>
      <c r="S56" s="76">
        <v>0</v>
      </c>
      <c r="T56" s="267">
        <f t="shared" si="6"/>
        <v>497300117.34196347</v>
      </c>
      <c r="V56" s="206">
        <f t="shared" si="7"/>
        <v>3181182709.3885388</v>
      </c>
      <c r="W56" s="208">
        <f t="shared" si="8"/>
        <v>0</v>
      </c>
      <c r="X56" s="208">
        <f t="shared" si="9"/>
        <v>0</v>
      </c>
      <c r="Y56" s="208">
        <f t="shared" si="10"/>
        <v>0</v>
      </c>
      <c r="Z56" s="246">
        <f t="shared" si="11"/>
        <v>3181182709.3885388</v>
      </c>
    </row>
    <row r="57" spans="1:26">
      <c r="A57" s="205">
        <v>40868</v>
      </c>
      <c r="B57" s="210" t="b">
        <f t="shared" si="12"/>
        <v>1</v>
      </c>
      <c r="C57" s="76">
        <v>0</v>
      </c>
      <c r="D57" s="76">
        <v>0</v>
      </c>
      <c r="E57" s="76">
        <v>0</v>
      </c>
      <c r="F57" s="76">
        <v>0</v>
      </c>
      <c r="G57" s="76">
        <v>0</v>
      </c>
      <c r="H57" s="76">
        <v>1664186752.2704771</v>
      </c>
      <c r="I57" s="76">
        <v>785161802.42979288</v>
      </c>
      <c r="J57" s="76">
        <v>526524297.70270139</v>
      </c>
      <c r="K57" s="76">
        <v>0</v>
      </c>
      <c r="L57" s="76">
        <v>0</v>
      </c>
      <c r="M57" s="76">
        <v>0</v>
      </c>
      <c r="N57" s="76">
        <v>0</v>
      </c>
      <c r="O57" s="76">
        <v>0</v>
      </c>
      <c r="P57" s="76">
        <v>0</v>
      </c>
      <c r="Q57" s="76">
        <v>0</v>
      </c>
      <c r="R57" s="76">
        <v>0</v>
      </c>
      <c r="S57" s="76">
        <v>0</v>
      </c>
      <c r="T57" s="267">
        <f t="shared" si="6"/>
        <v>465204942.27733809</v>
      </c>
      <c r="V57" s="206">
        <f t="shared" si="7"/>
        <v>2975872852.4029713</v>
      </c>
      <c r="W57" s="208">
        <f t="shared" si="8"/>
        <v>0</v>
      </c>
      <c r="X57" s="208">
        <f t="shared" si="9"/>
        <v>0</v>
      </c>
      <c r="Y57" s="208">
        <f t="shared" si="10"/>
        <v>0</v>
      </c>
      <c r="Z57" s="246">
        <f t="shared" si="11"/>
        <v>2975872852.4029713</v>
      </c>
    </row>
    <row r="58" spans="1:26">
      <c r="A58" s="205">
        <v>40897</v>
      </c>
      <c r="B58" s="210" t="b">
        <f t="shared" si="12"/>
        <v>0</v>
      </c>
      <c r="C58" s="76">
        <v>0</v>
      </c>
      <c r="D58" s="76">
        <v>0</v>
      </c>
      <c r="E58" s="76">
        <v>0</v>
      </c>
      <c r="F58" s="76">
        <v>0</v>
      </c>
      <c r="G58" s="76">
        <v>0</v>
      </c>
      <c r="H58" s="76">
        <v>1664186752.2704771</v>
      </c>
      <c r="I58" s="76">
        <v>785161802.42979288</v>
      </c>
      <c r="J58" s="76">
        <v>526524297.70270139</v>
      </c>
      <c r="K58" s="76">
        <v>0</v>
      </c>
      <c r="L58" s="76">
        <v>0</v>
      </c>
      <c r="M58" s="76">
        <v>0</v>
      </c>
      <c r="N58" s="76">
        <v>0</v>
      </c>
      <c r="O58" s="76">
        <v>0</v>
      </c>
      <c r="P58" s="76">
        <v>0</v>
      </c>
      <c r="Q58" s="76">
        <v>0</v>
      </c>
      <c r="R58" s="76">
        <v>0</v>
      </c>
      <c r="S58" s="76">
        <v>0</v>
      </c>
      <c r="T58" s="267">
        <f t="shared" si="6"/>
        <v>465204942.27733809</v>
      </c>
      <c r="V58" s="206">
        <f t="shared" si="7"/>
        <v>2975872852.4029713</v>
      </c>
      <c r="W58" s="208">
        <f t="shared" si="8"/>
        <v>0</v>
      </c>
      <c r="X58" s="208">
        <f t="shared" si="9"/>
        <v>0</v>
      </c>
      <c r="Y58" s="208">
        <f t="shared" si="10"/>
        <v>0</v>
      </c>
      <c r="Z58" s="246">
        <f t="shared" si="11"/>
        <v>2975872852.4029713</v>
      </c>
    </row>
    <row r="59" spans="1:26">
      <c r="A59" s="205">
        <v>40928</v>
      </c>
      <c r="B59" s="210" t="b">
        <f t="shared" si="12"/>
        <v>0</v>
      </c>
      <c r="C59" s="76">
        <v>0</v>
      </c>
      <c r="D59" s="76">
        <v>0</v>
      </c>
      <c r="E59" s="76">
        <v>0</v>
      </c>
      <c r="F59" s="76">
        <v>0</v>
      </c>
      <c r="G59" s="76">
        <v>0</v>
      </c>
      <c r="H59" s="76">
        <v>1664186752.2704771</v>
      </c>
      <c r="I59" s="76">
        <v>785161802.42979288</v>
      </c>
      <c r="J59" s="76">
        <v>526524297.70270139</v>
      </c>
      <c r="K59" s="76">
        <v>0</v>
      </c>
      <c r="L59" s="76">
        <v>0</v>
      </c>
      <c r="M59" s="76">
        <v>0</v>
      </c>
      <c r="N59" s="76">
        <v>0</v>
      </c>
      <c r="O59" s="76">
        <v>0</v>
      </c>
      <c r="P59" s="76">
        <v>0</v>
      </c>
      <c r="Q59" s="76">
        <v>0</v>
      </c>
      <c r="R59" s="76">
        <v>0</v>
      </c>
      <c r="S59" s="76">
        <v>0</v>
      </c>
      <c r="T59" s="267">
        <f t="shared" si="6"/>
        <v>465204942.27733809</v>
      </c>
      <c r="V59" s="206">
        <f t="shared" si="7"/>
        <v>2975872852.4029713</v>
      </c>
      <c r="W59" s="208">
        <f t="shared" si="8"/>
        <v>0</v>
      </c>
      <c r="X59" s="208">
        <f t="shared" si="9"/>
        <v>0</v>
      </c>
      <c r="Y59" s="208">
        <f t="shared" si="10"/>
        <v>0</v>
      </c>
      <c r="Z59" s="246">
        <f t="shared" si="11"/>
        <v>2975872852.4029713</v>
      </c>
    </row>
    <row r="60" spans="1:26">
      <c r="A60" s="205">
        <v>40960</v>
      </c>
      <c r="B60" s="210" t="b">
        <f t="shared" si="12"/>
        <v>1</v>
      </c>
      <c r="C60" s="76">
        <v>0</v>
      </c>
      <c r="D60" s="76">
        <v>0</v>
      </c>
      <c r="E60" s="76">
        <v>0</v>
      </c>
      <c r="F60" s="76">
        <v>0</v>
      </c>
      <c r="G60" s="76">
        <v>0</v>
      </c>
      <c r="H60" s="76">
        <v>1555601714.642853</v>
      </c>
      <c r="I60" s="76">
        <v>733931480.02499366</v>
      </c>
      <c r="J60" s="76">
        <v>492169583.24538183</v>
      </c>
      <c r="K60" s="76">
        <v>0</v>
      </c>
      <c r="L60" s="76">
        <v>0</v>
      </c>
      <c r="M60" s="76">
        <v>0</v>
      </c>
      <c r="N60" s="76">
        <v>0</v>
      </c>
      <c r="O60" s="76">
        <v>0</v>
      </c>
      <c r="P60" s="76">
        <v>0</v>
      </c>
      <c r="Q60" s="76">
        <v>0</v>
      </c>
      <c r="R60" s="76">
        <v>0</v>
      </c>
      <c r="S60" s="76">
        <v>0</v>
      </c>
      <c r="T60" s="267">
        <f t="shared" si="6"/>
        <v>434851199.77048063</v>
      </c>
      <c r="V60" s="206">
        <f t="shared" si="7"/>
        <v>2781702777.9132285</v>
      </c>
      <c r="W60" s="208">
        <f t="shared" si="8"/>
        <v>0</v>
      </c>
      <c r="X60" s="208">
        <f t="shared" si="9"/>
        <v>0</v>
      </c>
      <c r="Y60" s="208">
        <f t="shared" si="10"/>
        <v>0</v>
      </c>
      <c r="Z60" s="246">
        <f t="shared" si="11"/>
        <v>2781702777.9132285</v>
      </c>
    </row>
    <row r="61" spans="1:26">
      <c r="A61" s="205">
        <v>40988</v>
      </c>
      <c r="B61" s="210" t="b">
        <f t="shared" si="12"/>
        <v>0</v>
      </c>
      <c r="C61" s="76">
        <v>0</v>
      </c>
      <c r="D61" s="76">
        <v>0</v>
      </c>
      <c r="E61" s="76">
        <v>0</v>
      </c>
      <c r="F61" s="76">
        <v>0</v>
      </c>
      <c r="G61" s="76">
        <v>0</v>
      </c>
      <c r="H61" s="76">
        <v>1555601714.642853</v>
      </c>
      <c r="I61" s="76">
        <v>733931480.02499366</v>
      </c>
      <c r="J61" s="76">
        <v>492169583.24538183</v>
      </c>
      <c r="K61" s="76">
        <v>0</v>
      </c>
      <c r="L61" s="76">
        <v>0</v>
      </c>
      <c r="M61" s="76">
        <v>0</v>
      </c>
      <c r="N61" s="76">
        <v>0</v>
      </c>
      <c r="O61" s="76">
        <v>0</v>
      </c>
      <c r="P61" s="76">
        <v>0</v>
      </c>
      <c r="Q61" s="76">
        <v>0</v>
      </c>
      <c r="R61" s="76">
        <v>0</v>
      </c>
      <c r="S61" s="76">
        <v>0</v>
      </c>
      <c r="T61" s="267">
        <f t="shared" si="6"/>
        <v>434851199.77048063</v>
      </c>
      <c r="V61" s="206">
        <f t="shared" si="7"/>
        <v>2781702777.9132285</v>
      </c>
      <c r="W61" s="208">
        <f t="shared" si="8"/>
        <v>0</v>
      </c>
      <c r="X61" s="208">
        <f t="shared" si="9"/>
        <v>0</v>
      </c>
      <c r="Y61" s="208">
        <f t="shared" si="10"/>
        <v>0</v>
      </c>
      <c r="Z61" s="246">
        <f t="shared" si="11"/>
        <v>2781702777.9132285</v>
      </c>
    </row>
    <row r="62" spans="1:26">
      <c r="A62" s="205">
        <v>41019</v>
      </c>
      <c r="B62" s="210" t="b">
        <f t="shared" si="12"/>
        <v>0</v>
      </c>
      <c r="C62" s="76">
        <v>0</v>
      </c>
      <c r="D62" s="76">
        <v>0</v>
      </c>
      <c r="E62" s="76">
        <v>0</v>
      </c>
      <c r="F62" s="76">
        <v>0</v>
      </c>
      <c r="G62" s="76">
        <v>0</v>
      </c>
      <c r="H62" s="76">
        <v>1555601714.642853</v>
      </c>
      <c r="I62" s="76">
        <v>733931480.02499366</v>
      </c>
      <c r="J62" s="76">
        <v>492169583.24538183</v>
      </c>
      <c r="K62" s="76">
        <v>0</v>
      </c>
      <c r="L62" s="76">
        <v>0</v>
      </c>
      <c r="M62" s="76">
        <v>0</v>
      </c>
      <c r="N62" s="76">
        <v>0</v>
      </c>
      <c r="O62" s="76">
        <v>0</v>
      </c>
      <c r="P62" s="76">
        <v>0</v>
      </c>
      <c r="Q62" s="76">
        <v>0</v>
      </c>
      <c r="R62" s="76">
        <v>0</v>
      </c>
      <c r="S62" s="76">
        <v>0</v>
      </c>
      <c r="T62" s="267">
        <f t="shared" si="6"/>
        <v>434851199.77048063</v>
      </c>
      <c r="V62" s="206">
        <f t="shared" si="7"/>
        <v>2781702777.9132285</v>
      </c>
      <c r="W62" s="208">
        <f t="shared" si="8"/>
        <v>0</v>
      </c>
      <c r="X62" s="208">
        <f t="shared" si="9"/>
        <v>0</v>
      </c>
      <c r="Y62" s="208">
        <f t="shared" si="10"/>
        <v>0</v>
      </c>
      <c r="Z62" s="246">
        <f t="shared" si="11"/>
        <v>2781702777.9132285</v>
      </c>
    </row>
    <row r="63" spans="1:26">
      <c r="A63" s="740">
        <v>41050</v>
      </c>
      <c r="B63" s="741" t="b">
        <f t="shared" si="12"/>
        <v>1</v>
      </c>
      <c r="C63" s="211">
        <v>0</v>
      </c>
      <c r="D63" s="211">
        <v>0</v>
      </c>
      <c r="E63" s="211">
        <v>0</v>
      </c>
      <c r="F63" s="211">
        <v>0</v>
      </c>
      <c r="G63" s="211">
        <v>0</v>
      </c>
      <c r="H63" s="212">
        <v>1452908326.4432337</v>
      </c>
      <c r="I63" s="212">
        <v>685480832.48412764</v>
      </c>
      <c r="J63" s="212">
        <v>459678900.31767195</v>
      </c>
      <c r="K63" s="76">
        <v>0</v>
      </c>
      <c r="L63" s="76">
        <v>0</v>
      </c>
      <c r="M63" s="76">
        <v>0</v>
      </c>
      <c r="N63" s="76">
        <v>0</v>
      </c>
      <c r="O63" s="76">
        <v>0</v>
      </c>
      <c r="P63" s="76">
        <v>0</v>
      </c>
      <c r="Q63" s="76">
        <v>0</v>
      </c>
      <c r="R63" s="76">
        <v>0</v>
      </c>
      <c r="S63" s="76">
        <v>0</v>
      </c>
      <c r="T63" s="267">
        <f t="shared" si="6"/>
        <v>406144402.49277729</v>
      </c>
      <c r="V63" s="206">
        <f t="shared" si="7"/>
        <v>2598068059.2450333</v>
      </c>
      <c r="W63" s="208">
        <f t="shared" si="8"/>
        <v>0</v>
      </c>
      <c r="X63" s="208">
        <f t="shared" si="9"/>
        <v>0</v>
      </c>
      <c r="Y63" s="208">
        <f t="shared" si="10"/>
        <v>0</v>
      </c>
      <c r="Z63" s="246">
        <f t="shared" si="11"/>
        <v>2598068059.2450333</v>
      </c>
    </row>
    <row r="64" spans="1:26">
      <c r="A64" s="205">
        <v>41080</v>
      </c>
      <c r="B64" s="210" t="b">
        <f t="shared" si="12"/>
        <v>0</v>
      </c>
      <c r="C64" s="76">
        <v>0</v>
      </c>
      <c r="D64" s="76">
        <v>0</v>
      </c>
      <c r="E64" s="76">
        <v>0</v>
      </c>
      <c r="F64" s="76">
        <v>0</v>
      </c>
      <c r="G64" s="76">
        <v>0</v>
      </c>
      <c r="H64" s="76">
        <v>1452908326.4432337</v>
      </c>
      <c r="I64" s="76">
        <v>685480832.48412764</v>
      </c>
      <c r="J64" s="76">
        <v>459678900.31767195</v>
      </c>
      <c r="K64" s="76">
        <v>0</v>
      </c>
      <c r="L64" s="76">
        <v>0</v>
      </c>
      <c r="M64" s="76">
        <v>0</v>
      </c>
      <c r="N64" s="76">
        <v>0</v>
      </c>
      <c r="O64" s="76">
        <v>0</v>
      </c>
      <c r="P64" s="76">
        <v>0</v>
      </c>
      <c r="Q64" s="76">
        <v>0</v>
      </c>
      <c r="R64" s="76">
        <v>0</v>
      </c>
      <c r="S64" s="76">
        <v>0</v>
      </c>
      <c r="T64" s="267">
        <f t="shared" si="6"/>
        <v>406144402.49277735</v>
      </c>
      <c r="V64" s="206">
        <f t="shared" si="7"/>
        <v>2598068059.2450333</v>
      </c>
      <c r="W64" s="208">
        <f t="shared" si="8"/>
        <v>0</v>
      </c>
      <c r="X64" s="208">
        <f t="shared" si="9"/>
        <v>0</v>
      </c>
      <c r="Y64" s="208">
        <f t="shared" si="10"/>
        <v>0</v>
      </c>
      <c r="Z64" s="246">
        <f t="shared" si="11"/>
        <v>2598068059.2450333</v>
      </c>
    </row>
    <row r="65" spans="1:26">
      <c r="A65" s="205">
        <v>41110</v>
      </c>
      <c r="B65" s="210" t="b">
        <f t="shared" si="12"/>
        <v>0</v>
      </c>
      <c r="C65" s="76">
        <v>0</v>
      </c>
      <c r="D65" s="76">
        <v>0</v>
      </c>
      <c r="E65" s="76">
        <v>0</v>
      </c>
      <c r="F65" s="76">
        <v>0</v>
      </c>
      <c r="G65" s="76">
        <v>0</v>
      </c>
      <c r="H65" s="185">
        <v>1452908326.4432337</v>
      </c>
      <c r="I65" s="185">
        <v>685480832.48412764</v>
      </c>
      <c r="J65" s="185">
        <v>459678900.31767195</v>
      </c>
      <c r="K65" s="76">
        <v>0</v>
      </c>
      <c r="L65" s="76">
        <v>0</v>
      </c>
      <c r="M65" s="76">
        <v>0</v>
      </c>
      <c r="N65" s="76">
        <v>0</v>
      </c>
      <c r="O65" s="76">
        <v>0</v>
      </c>
      <c r="P65" s="76">
        <v>0</v>
      </c>
      <c r="Q65" s="76">
        <v>0</v>
      </c>
      <c r="R65" s="76">
        <v>0</v>
      </c>
      <c r="S65" s="76">
        <v>0</v>
      </c>
      <c r="T65" s="267">
        <f t="shared" si="6"/>
        <v>406144402.49277735</v>
      </c>
      <c r="V65" s="206">
        <f t="shared" si="7"/>
        <v>2598068059.2450333</v>
      </c>
      <c r="W65" s="208">
        <f t="shared" si="8"/>
        <v>0</v>
      </c>
      <c r="X65" s="208">
        <f t="shared" si="9"/>
        <v>0</v>
      </c>
      <c r="Y65" s="208">
        <f t="shared" si="10"/>
        <v>0</v>
      </c>
      <c r="Z65" s="246">
        <f t="shared" si="11"/>
        <v>2598068059.2450333</v>
      </c>
    </row>
    <row r="66" spans="1:26">
      <c r="A66" s="205">
        <v>41141</v>
      </c>
      <c r="B66" s="210" t="b">
        <f t="shared" si="12"/>
        <v>1</v>
      </c>
      <c r="C66" s="76">
        <v>0</v>
      </c>
      <c r="D66" s="76">
        <v>0</v>
      </c>
      <c r="E66" s="76">
        <v>0</v>
      </c>
      <c r="F66" s="76">
        <v>0</v>
      </c>
      <c r="G66" s="76">
        <v>0</v>
      </c>
      <c r="H66" s="76">
        <v>0</v>
      </c>
      <c r="I66" s="76">
        <v>0</v>
      </c>
      <c r="J66" s="76">
        <v>0</v>
      </c>
      <c r="K66" s="76">
        <v>0</v>
      </c>
      <c r="L66" s="76">
        <v>0</v>
      </c>
      <c r="M66" s="76">
        <v>0</v>
      </c>
      <c r="N66" s="76">
        <v>0</v>
      </c>
      <c r="O66" s="76">
        <v>0</v>
      </c>
      <c r="P66" s="76">
        <v>0</v>
      </c>
      <c r="Q66" s="76">
        <v>0</v>
      </c>
      <c r="R66" s="76">
        <v>0</v>
      </c>
      <c r="S66" s="76">
        <v>0</v>
      </c>
      <c r="V66" s="206">
        <f t="shared" si="7"/>
        <v>0</v>
      </c>
      <c r="W66" s="208">
        <f t="shared" si="8"/>
        <v>0</v>
      </c>
      <c r="X66" s="208">
        <f t="shared" si="9"/>
        <v>0</v>
      </c>
      <c r="Y66" s="208">
        <f t="shared" si="10"/>
        <v>0</v>
      </c>
      <c r="Z66" s="246">
        <f t="shared" si="11"/>
        <v>0</v>
      </c>
    </row>
    <row r="67" spans="1:26">
      <c r="A67" s="205">
        <v>41172</v>
      </c>
      <c r="B67" s="210" t="b">
        <f t="shared" si="12"/>
        <v>0</v>
      </c>
      <c r="C67" s="76">
        <v>0</v>
      </c>
      <c r="D67" s="76">
        <v>0</v>
      </c>
      <c r="E67" s="76">
        <v>0</v>
      </c>
      <c r="F67" s="76">
        <v>0</v>
      </c>
      <c r="G67" s="76">
        <v>0</v>
      </c>
      <c r="H67" s="76">
        <v>0</v>
      </c>
      <c r="I67" s="76">
        <v>0</v>
      </c>
      <c r="J67" s="76">
        <v>0</v>
      </c>
      <c r="K67" s="76">
        <v>0</v>
      </c>
      <c r="L67" s="76">
        <v>0</v>
      </c>
      <c r="M67" s="76">
        <v>0</v>
      </c>
      <c r="N67" s="76">
        <v>0</v>
      </c>
      <c r="O67" s="76">
        <v>0</v>
      </c>
      <c r="P67" s="76">
        <v>0</v>
      </c>
      <c r="Q67" s="76">
        <v>0</v>
      </c>
      <c r="R67" s="76">
        <v>0</v>
      </c>
      <c r="S67" s="76">
        <v>0</v>
      </c>
      <c r="V67" s="206">
        <f t="shared" si="7"/>
        <v>0</v>
      </c>
      <c r="W67" s="208">
        <f t="shared" si="8"/>
        <v>0</v>
      </c>
      <c r="X67" s="208">
        <f t="shared" si="9"/>
        <v>0</v>
      </c>
      <c r="Y67" s="208">
        <f t="shared" si="10"/>
        <v>0</v>
      </c>
      <c r="Z67" s="246">
        <f>SUM(V67:Y67)</f>
        <v>0</v>
      </c>
    </row>
    <row r="68" spans="1:26">
      <c r="A68" s="205">
        <v>41202</v>
      </c>
      <c r="B68" s="210" t="b">
        <f>MOD(MONTH(A68),3)=2</f>
        <v>0</v>
      </c>
      <c r="C68" s="76">
        <v>0</v>
      </c>
      <c r="D68" s="76">
        <v>0</v>
      </c>
      <c r="E68" s="76">
        <v>0</v>
      </c>
      <c r="F68" s="76">
        <v>0</v>
      </c>
      <c r="G68" s="76">
        <v>0</v>
      </c>
      <c r="H68" s="76">
        <v>0</v>
      </c>
      <c r="I68" s="76">
        <v>0</v>
      </c>
      <c r="J68" s="76">
        <v>0</v>
      </c>
      <c r="K68" s="76">
        <v>0</v>
      </c>
      <c r="L68" s="76">
        <v>0</v>
      </c>
      <c r="M68" s="76">
        <v>0</v>
      </c>
      <c r="N68" s="76">
        <v>0</v>
      </c>
      <c r="O68" s="76">
        <v>0</v>
      </c>
      <c r="P68" s="76">
        <v>0</v>
      </c>
      <c r="Q68" s="76">
        <v>0</v>
      </c>
      <c r="R68" s="76">
        <v>0</v>
      </c>
      <c r="S68" s="76">
        <v>0</v>
      </c>
      <c r="V68" s="206">
        <f t="shared" si="7"/>
        <v>0</v>
      </c>
      <c r="W68" s="208">
        <f t="shared" si="8"/>
        <v>0</v>
      </c>
      <c r="X68" s="208">
        <f t="shared" si="9"/>
        <v>0</v>
      </c>
      <c r="Y68" s="208">
        <f t="shared" si="10"/>
        <v>0</v>
      </c>
      <c r="Z68" s="246">
        <f>SUM(V68:Y68)</f>
        <v>0</v>
      </c>
    </row>
    <row r="69" spans="1:26">
      <c r="A69" s="205">
        <v>41233</v>
      </c>
      <c r="B69" s="210" t="b">
        <f>MOD(MONTH(A69),3)=2</f>
        <v>1</v>
      </c>
      <c r="C69" s="76">
        <v>0</v>
      </c>
      <c r="D69" s="76">
        <v>0</v>
      </c>
      <c r="E69" s="76">
        <v>0</v>
      </c>
      <c r="F69" s="76">
        <v>0</v>
      </c>
      <c r="G69" s="76">
        <v>0</v>
      </c>
      <c r="H69" s="76">
        <v>0</v>
      </c>
      <c r="I69" s="76">
        <v>0</v>
      </c>
      <c r="J69" s="76">
        <v>0</v>
      </c>
      <c r="K69" s="76">
        <v>0</v>
      </c>
      <c r="L69" s="76">
        <v>0</v>
      </c>
      <c r="M69" s="76">
        <v>0</v>
      </c>
      <c r="N69" s="76">
        <v>0</v>
      </c>
      <c r="O69" s="76">
        <v>0</v>
      </c>
      <c r="P69" s="76">
        <v>0</v>
      </c>
      <c r="Q69" s="76">
        <v>0</v>
      </c>
      <c r="R69" s="76">
        <v>0</v>
      </c>
      <c r="S69" s="76">
        <v>0</v>
      </c>
      <c r="V69" s="206">
        <f t="shared" si="7"/>
        <v>0</v>
      </c>
      <c r="W69" s="208">
        <f t="shared" si="8"/>
        <v>0</v>
      </c>
      <c r="X69" s="208">
        <f t="shared" si="9"/>
        <v>0</v>
      </c>
      <c r="Y69" s="208">
        <f t="shared" si="10"/>
        <v>0</v>
      </c>
      <c r="Z69" s="246">
        <f>SUM(V69:Y69)</f>
        <v>0</v>
      </c>
    </row>
    <row r="70" spans="1:26">
      <c r="A70" s="205">
        <v>41263</v>
      </c>
      <c r="B70" s="210" t="b">
        <f>MOD(MONTH(A70),3)=2</f>
        <v>0</v>
      </c>
      <c r="C70" s="76">
        <v>0</v>
      </c>
      <c r="D70" s="76">
        <v>0</v>
      </c>
      <c r="E70" s="76">
        <v>0</v>
      </c>
      <c r="F70" s="76">
        <v>0</v>
      </c>
      <c r="G70" s="76">
        <v>0</v>
      </c>
      <c r="H70" s="76">
        <v>0</v>
      </c>
      <c r="I70" s="76">
        <v>0</v>
      </c>
      <c r="J70" s="76">
        <v>0</v>
      </c>
      <c r="K70" s="76">
        <v>0</v>
      </c>
      <c r="L70" s="76">
        <v>0</v>
      </c>
      <c r="M70" s="76">
        <v>0</v>
      </c>
      <c r="N70" s="76">
        <v>0</v>
      </c>
      <c r="O70" s="76">
        <v>0</v>
      </c>
      <c r="P70" s="76">
        <v>0</v>
      </c>
      <c r="Q70" s="76">
        <v>0</v>
      </c>
      <c r="R70" s="76">
        <v>0</v>
      </c>
      <c r="S70" s="76">
        <v>0</v>
      </c>
      <c r="V70" s="206">
        <f t="shared" ref="V70:V82" si="13">SUM(C70:J70)</f>
        <v>0</v>
      </c>
      <c r="W70" s="208">
        <f t="shared" ref="W70:W82" si="14">SUM(K70:M70)</f>
        <v>0</v>
      </c>
      <c r="X70" s="208">
        <f t="shared" ref="X70:X82" si="15">SUM(N70:P70)</f>
        <v>0</v>
      </c>
      <c r="Y70" s="208">
        <f t="shared" ref="Y70:Y82" si="16">SUM(Q70:S70)</f>
        <v>0</v>
      </c>
      <c r="Z70" s="246">
        <f t="shared" ref="Z70:Z82" si="17">SUM(V70:Y70)</f>
        <v>0</v>
      </c>
    </row>
    <row r="71" spans="1:26">
      <c r="A71" s="205">
        <v>41294</v>
      </c>
      <c r="B71" s="210" t="b">
        <f t="shared" ref="B71:B79" si="18">MOD(MONTH(A71),3)=2</f>
        <v>0</v>
      </c>
      <c r="C71" s="76">
        <v>0</v>
      </c>
      <c r="D71" s="76">
        <v>0</v>
      </c>
      <c r="E71" s="76">
        <v>0</v>
      </c>
      <c r="F71" s="76">
        <v>0</v>
      </c>
      <c r="G71" s="76">
        <v>0</v>
      </c>
      <c r="H71" s="76">
        <v>0</v>
      </c>
      <c r="I71" s="76">
        <v>0</v>
      </c>
      <c r="J71" s="76">
        <v>0</v>
      </c>
      <c r="K71" s="76">
        <v>0</v>
      </c>
      <c r="L71" s="76">
        <v>0</v>
      </c>
      <c r="M71" s="76">
        <v>0</v>
      </c>
      <c r="N71" s="76">
        <v>0</v>
      </c>
      <c r="O71" s="76">
        <v>0</v>
      </c>
      <c r="P71" s="76">
        <v>0</v>
      </c>
      <c r="Q71" s="76">
        <v>0</v>
      </c>
      <c r="R71" s="76">
        <v>0</v>
      </c>
      <c r="S71" s="76">
        <v>0</v>
      </c>
      <c r="V71" s="206">
        <f t="shared" si="13"/>
        <v>0</v>
      </c>
      <c r="W71" s="208">
        <f t="shared" si="14"/>
        <v>0</v>
      </c>
      <c r="X71" s="208">
        <f t="shared" si="15"/>
        <v>0</v>
      </c>
      <c r="Y71" s="208">
        <f t="shared" si="16"/>
        <v>0</v>
      </c>
      <c r="Z71" s="246">
        <f t="shared" si="17"/>
        <v>0</v>
      </c>
    </row>
    <row r="72" spans="1:26">
      <c r="A72" s="205">
        <v>41325</v>
      </c>
      <c r="B72" s="210" t="b">
        <f t="shared" si="18"/>
        <v>1</v>
      </c>
      <c r="C72" s="76">
        <v>0</v>
      </c>
      <c r="D72" s="76">
        <v>0</v>
      </c>
      <c r="E72" s="76">
        <v>0</v>
      </c>
      <c r="F72" s="76">
        <v>0</v>
      </c>
      <c r="G72" s="76">
        <v>0</v>
      </c>
      <c r="H72" s="76">
        <v>0</v>
      </c>
      <c r="I72" s="76">
        <v>0</v>
      </c>
      <c r="J72" s="76">
        <v>0</v>
      </c>
      <c r="K72" s="76">
        <v>0</v>
      </c>
      <c r="L72" s="76">
        <v>0</v>
      </c>
      <c r="M72" s="76">
        <v>0</v>
      </c>
      <c r="N72" s="76">
        <v>0</v>
      </c>
      <c r="O72" s="76">
        <v>0</v>
      </c>
      <c r="P72" s="76">
        <v>0</v>
      </c>
      <c r="Q72" s="76">
        <v>0</v>
      </c>
      <c r="R72" s="76">
        <v>0</v>
      </c>
      <c r="S72" s="76">
        <v>0</v>
      </c>
      <c r="V72" s="206">
        <f t="shared" si="13"/>
        <v>0</v>
      </c>
      <c r="W72" s="208">
        <f t="shared" si="14"/>
        <v>0</v>
      </c>
      <c r="X72" s="208">
        <f t="shared" si="15"/>
        <v>0</v>
      </c>
      <c r="Y72" s="208">
        <f t="shared" si="16"/>
        <v>0</v>
      </c>
      <c r="Z72" s="246">
        <f t="shared" si="17"/>
        <v>0</v>
      </c>
    </row>
    <row r="73" spans="1:26">
      <c r="A73" s="205">
        <v>41353</v>
      </c>
      <c r="B73" s="210" t="b">
        <f t="shared" si="18"/>
        <v>0</v>
      </c>
      <c r="C73" s="76">
        <v>0</v>
      </c>
      <c r="D73" s="76">
        <v>0</v>
      </c>
      <c r="E73" s="76">
        <v>0</v>
      </c>
      <c r="F73" s="76">
        <v>0</v>
      </c>
      <c r="G73" s="76">
        <v>0</v>
      </c>
      <c r="H73" s="76">
        <v>0</v>
      </c>
      <c r="I73" s="76">
        <v>0</v>
      </c>
      <c r="J73" s="76">
        <v>0</v>
      </c>
      <c r="K73" s="76">
        <v>0</v>
      </c>
      <c r="L73" s="76">
        <v>0</v>
      </c>
      <c r="M73" s="76">
        <v>0</v>
      </c>
      <c r="N73" s="76">
        <v>0</v>
      </c>
      <c r="O73" s="76">
        <v>0</v>
      </c>
      <c r="P73" s="76">
        <v>0</v>
      </c>
      <c r="Q73" s="76">
        <v>0</v>
      </c>
      <c r="R73" s="76">
        <v>0</v>
      </c>
      <c r="S73" s="76">
        <v>0</v>
      </c>
      <c r="V73" s="206">
        <f t="shared" si="13"/>
        <v>0</v>
      </c>
      <c r="W73" s="208">
        <f t="shared" si="14"/>
        <v>0</v>
      </c>
      <c r="X73" s="208">
        <f t="shared" si="15"/>
        <v>0</v>
      </c>
      <c r="Y73" s="208">
        <f t="shared" si="16"/>
        <v>0</v>
      </c>
      <c r="Z73" s="246">
        <f t="shared" si="17"/>
        <v>0</v>
      </c>
    </row>
    <row r="74" spans="1:26">
      <c r="A74" s="205">
        <v>41384</v>
      </c>
      <c r="B74" s="210" t="b">
        <f t="shared" si="18"/>
        <v>0</v>
      </c>
      <c r="C74" s="76">
        <v>0</v>
      </c>
      <c r="D74" s="76">
        <v>0</v>
      </c>
      <c r="E74" s="76">
        <v>0</v>
      </c>
      <c r="F74" s="76">
        <v>0</v>
      </c>
      <c r="G74" s="76">
        <v>0</v>
      </c>
      <c r="H74" s="76">
        <v>0</v>
      </c>
      <c r="I74" s="76">
        <v>0</v>
      </c>
      <c r="J74" s="76">
        <v>0</v>
      </c>
      <c r="K74" s="76">
        <v>0</v>
      </c>
      <c r="L74" s="76">
        <v>0</v>
      </c>
      <c r="M74" s="76">
        <v>0</v>
      </c>
      <c r="N74" s="76">
        <v>0</v>
      </c>
      <c r="O74" s="76">
        <v>0</v>
      </c>
      <c r="P74" s="76">
        <v>0</v>
      </c>
      <c r="Q74" s="76">
        <v>0</v>
      </c>
      <c r="R74" s="76">
        <v>0</v>
      </c>
      <c r="S74" s="76">
        <v>0</v>
      </c>
      <c r="V74" s="206">
        <f t="shared" si="13"/>
        <v>0</v>
      </c>
      <c r="W74" s="208">
        <f t="shared" si="14"/>
        <v>0</v>
      </c>
      <c r="X74" s="208">
        <f t="shared" si="15"/>
        <v>0</v>
      </c>
      <c r="Y74" s="208">
        <f t="shared" si="16"/>
        <v>0</v>
      </c>
      <c r="Z74" s="246">
        <f t="shared" si="17"/>
        <v>0</v>
      </c>
    </row>
    <row r="75" spans="1:26">
      <c r="A75" s="740">
        <v>41414</v>
      </c>
      <c r="B75" s="741" t="b">
        <f t="shared" si="18"/>
        <v>1</v>
      </c>
      <c r="C75" s="76">
        <v>0</v>
      </c>
      <c r="D75" s="76">
        <v>0</v>
      </c>
      <c r="E75" s="76">
        <v>0</v>
      </c>
      <c r="F75" s="76">
        <v>0</v>
      </c>
      <c r="G75" s="76">
        <v>0</v>
      </c>
      <c r="H75" s="76">
        <v>0</v>
      </c>
      <c r="I75" s="76">
        <v>0</v>
      </c>
      <c r="J75" s="76">
        <v>0</v>
      </c>
      <c r="K75" s="76">
        <v>0</v>
      </c>
      <c r="L75" s="76">
        <v>0</v>
      </c>
      <c r="M75" s="76">
        <v>0</v>
      </c>
      <c r="N75" s="76">
        <v>0</v>
      </c>
      <c r="O75" s="76">
        <v>0</v>
      </c>
      <c r="P75" s="76">
        <v>0</v>
      </c>
      <c r="Q75" s="76">
        <v>0</v>
      </c>
      <c r="R75" s="76">
        <v>0</v>
      </c>
      <c r="S75" s="76">
        <v>0</v>
      </c>
      <c r="V75" s="206">
        <f t="shared" si="13"/>
        <v>0</v>
      </c>
      <c r="W75" s="208">
        <f t="shared" si="14"/>
        <v>0</v>
      </c>
      <c r="X75" s="208">
        <f t="shared" si="15"/>
        <v>0</v>
      </c>
      <c r="Y75" s="208">
        <f t="shared" si="16"/>
        <v>0</v>
      </c>
      <c r="Z75" s="246">
        <f t="shared" si="17"/>
        <v>0</v>
      </c>
    </row>
    <row r="76" spans="1:26">
      <c r="A76" s="205">
        <v>41445</v>
      </c>
      <c r="B76" s="210" t="b">
        <f t="shared" si="18"/>
        <v>0</v>
      </c>
      <c r="C76" s="76">
        <v>0</v>
      </c>
      <c r="D76" s="76">
        <v>0</v>
      </c>
      <c r="E76" s="76">
        <v>0</v>
      </c>
      <c r="F76" s="76">
        <v>0</v>
      </c>
      <c r="G76" s="76">
        <v>0</v>
      </c>
      <c r="H76" s="76">
        <v>0</v>
      </c>
      <c r="I76" s="76">
        <v>0</v>
      </c>
      <c r="J76" s="76">
        <v>0</v>
      </c>
      <c r="K76" s="76">
        <v>0</v>
      </c>
      <c r="L76" s="76">
        <v>0</v>
      </c>
      <c r="M76" s="76">
        <v>0</v>
      </c>
      <c r="N76" s="76">
        <v>0</v>
      </c>
      <c r="O76" s="76">
        <v>0</v>
      </c>
      <c r="P76" s="76">
        <v>0</v>
      </c>
      <c r="Q76" s="76">
        <v>0</v>
      </c>
      <c r="R76" s="76">
        <v>0</v>
      </c>
      <c r="S76" s="76">
        <v>0</v>
      </c>
      <c r="V76" s="206">
        <f t="shared" si="13"/>
        <v>0</v>
      </c>
      <c r="W76" s="208">
        <f t="shared" si="14"/>
        <v>0</v>
      </c>
      <c r="X76" s="208">
        <f t="shared" si="15"/>
        <v>0</v>
      </c>
      <c r="Y76" s="208">
        <f t="shared" si="16"/>
        <v>0</v>
      </c>
      <c r="Z76" s="246">
        <f t="shared" si="17"/>
        <v>0</v>
      </c>
    </row>
    <row r="77" spans="1:26">
      <c r="A77" s="205">
        <v>41475</v>
      </c>
      <c r="B77" s="210" t="b">
        <f t="shared" si="18"/>
        <v>0</v>
      </c>
      <c r="C77" s="76">
        <v>0</v>
      </c>
      <c r="D77" s="76">
        <v>0</v>
      </c>
      <c r="E77" s="76">
        <v>0</v>
      </c>
      <c r="F77" s="76">
        <v>0</v>
      </c>
      <c r="G77" s="76">
        <v>0</v>
      </c>
      <c r="H77" s="76">
        <v>0</v>
      </c>
      <c r="I77" s="76">
        <v>0</v>
      </c>
      <c r="J77" s="76">
        <v>0</v>
      </c>
      <c r="K77" s="76">
        <v>0</v>
      </c>
      <c r="L77" s="76">
        <v>0</v>
      </c>
      <c r="M77" s="76">
        <v>0</v>
      </c>
      <c r="N77" s="76">
        <v>0</v>
      </c>
      <c r="O77" s="76">
        <v>0</v>
      </c>
      <c r="P77" s="76">
        <v>0</v>
      </c>
      <c r="Q77" s="76">
        <v>0</v>
      </c>
      <c r="R77" s="76">
        <v>0</v>
      </c>
      <c r="S77" s="76">
        <v>0</v>
      </c>
      <c r="V77" s="206">
        <f t="shared" si="13"/>
        <v>0</v>
      </c>
      <c r="W77" s="208">
        <f t="shared" si="14"/>
        <v>0</v>
      </c>
      <c r="X77" s="208">
        <f t="shared" si="15"/>
        <v>0</v>
      </c>
      <c r="Y77" s="208">
        <f t="shared" si="16"/>
        <v>0</v>
      </c>
      <c r="Z77" s="246">
        <f t="shared" si="17"/>
        <v>0</v>
      </c>
    </row>
    <row r="78" spans="1:26">
      <c r="A78" s="205">
        <v>41506</v>
      </c>
      <c r="B78" s="210" t="b">
        <f t="shared" si="18"/>
        <v>1</v>
      </c>
      <c r="C78" s="76">
        <v>0</v>
      </c>
      <c r="D78" s="76">
        <v>0</v>
      </c>
      <c r="E78" s="76">
        <v>0</v>
      </c>
      <c r="F78" s="76">
        <v>0</v>
      </c>
      <c r="G78" s="76">
        <v>0</v>
      </c>
      <c r="H78" s="76">
        <v>0</v>
      </c>
      <c r="I78" s="76">
        <v>0</v>
      </c>
      <c r="J78" s="76">
        <v>0</v>
      </c>
      <c r="K78" s="76">
        <v>0</v>
      </c>
      <c r="L78" s="76">
        <v>0</v>
      </c>
      <c r="M78" s="76">
        <v>0</v>
      </c>
      <c r="N78" s="76">
        <v>0</v>
      </c>
      <c r="O78" s="76">
        <v>0</v>
      </c>
      <c r="P78" s="76">
        <v>0</v>
      </c>
      <c r="Q78" s="76">
        <v>0</v>
      </c>
      <c r="R78" s="76">
        <v>0</v>
      </c>
      <c r="S78" s="76">
        <v>0</v>
      </c>
      <c r="V78" s="206">
        <f t="shared" si="13"/>
        <v>0</v>
      </c>
      <c r="W78" s="208">
        <f t="shared" si="14"/>
        <v>0</v>
      </c>
      <c r="X78" s="208">
        <f t="shared" si="15"/>
        <v>0</v>
      </c>
      <c r="Y78" s="208">
        <f t="shared" si="16"/>
        <v>0</v>
      </c>
      <c r="Z78" s="246">
        <f t="shared" si="17"/>
        <v>0</v>
      </c>
    </row>
    <row r="79" spans="1:26">
      <c r="A79" s="205">
        <v>41537</v>
      </c>
      <c r="B79" s="210" t="b">
        <f t="shared" si="18"/>
        <v>0</v>
      </c>
      <c r="C79" s="76">
        <v>0</v>
      </c>
      <c r="D79" s="76">
        <v>0</v>
      </c>
      <c r="E79" s="76">
        <v>0</v>
      </c>
      <c r="F79" s="76">
        <v>0</v>
      </c>
      <c r="G79" s="76">
        <v>0</v>
      </c>
      <c r="H79" s="76">
        <v>0</v>
      </c>
      <c r="I79" s="76">
        <v>0</v>
      </c>
      <c r="J79" s="76">
        <v>0</v>
      </c>
      <c r="K79" s="76">
        <v>0</v>
      </c>
      <c r="L79" s="76">
        <v>0</v>
      </c>
      <c r="M79" s="76">
        <v>0</v>
      </c>
      <c r="N79" s="76">
        <v>0</v>
      </c>
      <c r="O79" s="76">
        <v>0</v>
      </c>
      <c r="P79" s="76">
        <v>0</v>
      </c>
      <c r="Q79" s="76">
        <v>0</v>
      </c>
      <c r="R79" s="76">
        <v>0</v>
      </c>
      <c r="S79" s="76">
        <v>0</v>
      </c>
      <c r="V79" s="206">
        <f t="shared" si="13"/>
        <v>0</v>
      </c>
      <c r="W79" s="208">
        <f t="shared" si="14"/>
        <v>0</v>
      </c>
      <c r="X79" s="208">
        <f t="shared" si="15"/>
        <v>0</v>
      </c>
      <c r="Y79" s="208">
        <f t="shared" si="16"/>
        <v>0</v>
      </c>
      <c r="Z79" s="246">
        <f t="shared" si="17"/>
        <v>0</v>
      </c>
    </row>
    <row r="80" spans="1:26">
      <c r="A80" s="205">
        <v>41567</v>
      </c>
      <c r="B80" s="210" t="b">
        <f>MOD(MONTH(A80),3)=2</f>
        <v>0</v>
      </c>
      <c r="C80" s="76">
        <v>0</v>
      </c>
      <c r="D80" s="76">
        <v>0</v>
      </c>
      <c r="E80" s="76">
        <v>0</v>
      </c>
      <c r="F80" s="76">
        <v>0</v>
      </c>
      <c r="G80" s="76">
        <v>0</v>
      </c>
      <c r="H80" s="76">
        <v>0</v>
      </c>
      <c r="I80" s="76">
        <v>0</v>
      </c>
      <c r="J80" s="76">
        <v>0</v>
      </c>
      <c r="K80" s="76">
        <v>0</v>
      </c>
      <c r="L80" s="76">
        <v>0</v>
      </c>
      <c r="M80" s="76">
        <v>0</v>
      </c>
      <c r="N80" s="76">
        <v>0</v>
      </c>
      <c r="O80" s="76">
        <v>0</v>
      </c>
      <c r="P80" s="76">
        <v>0</v>
      </c>
      <c r="Q80" s="76">
        <v>0</v>
      </c>
      <c r="R80" s="76">
        <v>0</v>
      </c>
      <c r="S80" s="76">
        <v>0</v>
      </c>
      <c r="V80" s="206">
        <f t="shared" si="13"/>
        <v>0</v>
      </c>
      <c r="W80" s="208">
        <f t="shared" si="14"/>
        <v>0</v>
      </c>
      <c r="X80" s="208">
        <f t="shared" si="15"/>
        <v>0</v>
      </c>
      <c r="Y80" s="208">
        <f t="shared" si="16"/>
        <v>0</v>
      </c>
      <c r="Z80" s="246">
        <f t="shared" si="17"/>
        <v>0</v>
      </c>
    </row>
    <row r="81" spans="1:75">
      <c r="A81" s="205">
        <v>41598</v>
      </c>
      <c r="B81" s="210" t="b">
        <f>MOD(MONTH(A81),3)=2</f>
        <v>1</v>
      </c>
      <c r="C81" s="76">
        <v>0</v>
      </c>
      <c r="D81" s="76">
        <v>0</v>
      </c>
      <c r="E81" s="76">
        <v>0</v>
      </c>
      <c r="F81" s="76">
        <v>0</v>
      </c>
      <c r="G81" s="76">
        <v>0</v>
      </c>
      <c r="H81" s="76">
        <v>0</v>
      </c>
      <c r="I81" s="76">
        <v>0</v>
      </c>
      <c r="J81" s="76">
        <v>0</v>
      </c>
      <c r="K81" s="76">
        <v>0</v>
      </c>
      <c r="L81" s="76">
        <v>0</v>
      </c>
      <c r="M81" s="76">
        <v>0</v>
      </c>
      <c r="N81" s="76">
        <v>0</v>
      </c>
      <c r="O81" s="76">
        <v>0</v>
      </c>
      <c r="P81" s="76">
        <v>0</v>
      </c>
      <c r="Q81" s="76">
        <v>0</v>
      </c>
      <c r="R81" s="76">
        <v>0</v>
      </c>
      <c r="S81" s="76">
        <v>0</v>
      </c>
      <c r="V81" s="206">
        <f t="shared" si="13"/>
        <v>0</v>
      </c>
      <c r="W81" s="208">
        <f t="shared" si="14"/>
        <v>0</v>
      </c>
      <c r="X81" s="208">
        <f t="shared" si="15"/>
        <v>0</v>
      </c>
      <c r="Y81" s="208">
        <f t="shared" si="16"/>
        <v>0</v>
      </c>
      <c r="Z81" s="246">
        <f t="shared" si="17"/>
        <v>0</v>
      </c>
    </row>
    <row r="82" spans="1:75" ht="13.5" thickBot="1">
      <c r="A82" s="205">
        <v>41628</v>
      </c>
      <c r="B82" s="210" t="b">
        <f>MOD(MONTH(A82),3)=2</f>
        <v>0</v>
      </c>
      <c r="C82" s="76">
        <v>0</v>
      </c>
      <c r="D82" s="76">
        <v>0</v>
      </c>
      <c r="E82" s="76">
        <v>0</v>
      </c>
      <c r="F82" s="76">
        <v>0</v>
      </c>
      <c r="G82" s="76">
        <v>0</v>
      </c>
      <c r="H82" s="76">
        <v>0</v>
      </c>
      <c r="I82" s="76">
        <v>0</v>
      </c>
      <c r="J82" s="76">
        <v>0</v>
      </c>
      <c r="K82" s="76">
        <v>0</v>
      </c>
      <c r="L82" s="76">
        <v>0</v>
      </c>
      <c r="M82" s="76">
        <v>0</v>
      </c>
      <c r="N82" s="76">
        <v>0</v>
      </c>
      <c r="O82" s="76">
        <v>0</v>
      </c>
      <c r="P82" s="76">
        <v>0</v>
      </c>
      <c r="Q82" s="76">
        <v>0</v>
      </c>
      <c r="R82" s="76">
        <v>0</v>
      </c>
      <c r="S82" s="76">
        <v>0</v>
      </c>
      <c r="V82" s="214">
        <f t="shared" si="13"/>
        <v>0</v>
      </c>
      <c r="W82" s="215">
        <f t="shared" si="14"/>
        <v>0</v>
      </c>
      <c r="X82" s="215">
        <f t="shared" si="15"/>
        <v>0</v>
      </c>
      <c r="Y82" s="215">
        <f t="shared" si="16"/>
        <v>0</v>
      </c>
      <c r="Z82" s="247">
        <f t="shared" si="17"/>
        <v>0</v>
      </c>
    </row>
    <row r="83" spans="1:75">
      <c r="A83" s="205"/>
      <c r="B83" s="205"/>
      <c r="C83" s="216"/>
      <c r="D83" s="216"/>
      <c r="E83" s="216"/>
      <c r="F83" s="216"/>
      <c r="G83" s="216"/>
      <c r="H83" s="216"/>
      <c r="I83" s="216"/>
      <c r="J83" s="216"/>
      <c r="K83" s="216"/>
      <c r="L83" s="216"/>
      <c r="M83" s="216"/>
      <c r="N83" s="216"/>
      <c r="O83" s="216"/>
      <c r="P83" s="216"/>
      <c r="Q83" s="216"/>
      <c r="R83" s="216"/>
    </row>
    <row r="84" spans="1:75">
      <c r="A84" s="205"/>
      <c r="B84" s="205"/>
      <c r="C84" s="216"/>
      <c r="D84" s="216"/>
      <c r="E84" s="216"/>
      <c r="F84" s="216"/>
      <c r="G84" s="216"/>
      <c r="H84" s="216"/>
      <c r="I84" s="216"/>
      <c r="J84" s="216"/>
      <c r="K84" s="216"/>
      <c r="L84" s="216"/>
      <c r="M84" s="216"/>
      <c r="N84" s="216"/>
      <c r="O84" s="216"/>
      <c r="P84" s="216"/>
      <c r="Q84" s="216"/>
      <c r="R84" s="216"/>
    </row>
    <row r="85" spans="1:75" ht="13.5" thickBot="1">
      <c r="A85" s="248" t="s">
        <v>992</v>
      </c>
      <c r="B85" s="205"/>
      <c r="C85" s="249" t="s">
        <v>742</v>
      </c>
      <c r="D85" s="249" t="s">
        <v>743</v>
      </c>
      <c r="E85" s="249" t="s">
        <v>744</v>
      </c>
      <c r="F85" s="249" t="s">
        <v>745</v>
      </c>
      <c r="G85" s="249" t="s">
        <v>746</v>
      </c>
      <c r="H85" s="249" t="s">
        <v>747</v>
      </c>
      <c r="I85" s="249" t="s">
        <v>748</v>
      </c>
      <c r="J85" s="249" t="s">
        <v>749</v>
      </c>
      <c r="K85" s="249" t="s">
        <v>750</v>
      </c>
      <c r="L85" s="249" t="s">
        <v>751</v>
      </c>
      <c r="M85" s="249" t="s">
        <v>752</v>
      </c>
      <c r="N85" s="249" t="s">
        <v>753</v>
      </c>
      <c r="O85" s="249" t="s">
        <v>754</v>
      </c>
      <c r="P85" s="249" t="s">
        <v>755</v>
      </c>
      <c r="Q85" s="249" t="s">
        <v>756</v>
      </c>
      <c r="R85" s="249" t="s">
        <v>757</v>
      </c>
      <c r="S85" s="73" t="s">
        <v>758</v>
      </c>
      <c r="T85" s="73" t="s">
        <v>993</v>
      </c>
      <c r="U85" s="218" t="s">
        <v>994</v>
      </c>
      <c r="V85" s="73" t="s">
        <v>742</v>
      </c>
      <c r="W85" s="73" t="s">
        <v>743</v>
      </c>
      <c r="X85" s="73" t="s">
        <v>744</v>
      </c>
      <c r="Y85" s="73" t="s">
        <v>745</v>
      </c>
      <c r="Z85" s="73" t="s">
        <v>746</v>
      </c>
      <c r="AA85" s="73" t="s">
        <v>747</v>
      </c>
      <c r="AB85" s="73" t="s">
        <v>748</v>
      </c>
      <c r="AC85" s="73" t="s">
        <v>749</v>
      </c>
      <c r="AD85" s="73" t="s">
        <v>750</v>
      </c>
      <c r="AE85" s="73" t="s">
        <v>751</v>
      </c>
      <c r="AF85" s="73" t="s">
        <v>752</v>
      </c>
      <c r="AG85" s="73" t="s">
        <v>753</v>
      </c>
      <c r="AH85" s="73" t="s">
        <v>754</v>
      </c>
      <c r="AI85" s="73" t="s">
        <v>755</v>
      </c>
      <c r="AJ85" s="73" t="s">
        <v>756</v>
      </c>
      <c r="AK85" s="73" t="s">
        <v>757</v>
      </c>
      <c r="AL85" s="73" t="s">
        <v>758</v>
      </c>
      <c r="AN85" s="220" t="s">
        <v>995</v>
      </c>
      <c r="AO85" s="73" t="s">
        <v>742</v>
      </c>
      <c r="AP85" s="73" t="s">
        <v>743</v>
      </c>
      <c r="AQ85" s="73" t="s">
        <v>744</v>
      </c>
      <c r="AR85" s="73" t="s">
        <v>745</v>
      </c>
      <c r="AS85" s="73" t="s">
        <v>746</v>
      </c>
      <c r="AT85" s="73" t="s">
        <v>747</v>
      </c>
      <c r="AU85" s="73" t="s">
        <v>748</v>
      </c>
      <c r="AV85" s="73" t="s">
        <v>749</v>
      </c>
      <c r="AW85" s="73" t="s">
        <v>750</v>
      </c>
      <c r="AX85" s="73" t="s">
        <v>751</v>
      </c>
      <c r="AY85" s="73" t="s">
        <v>752</v>
      </c>
      <c r="AZ85" s="73" t="s">
        <v>753</v>
      </c>
      <c r="BA85" s="73" t="s">
        <v>754</v>
      </c>
      <c r="BB85" s="73" t="s">
        <v>755</v>
      </c>
      <c r="BC85" s="73" t="s">
        <v>756</v>
      </c>
      <c r="BD85" s="73" t="s">
        <v>757</v>
      </c>
      <c r="BE85" s="73" t="s">
        <v>758</v>
      </c>
      <c r="BF85" s="220" t="s">
        <v>996</v>
      </c>
      <c r="BG85" s="73" t="s">
        <v>742</v>
      </c>
      <c r="BH85" s="73" t="s">
        <v>743</v>
      </c>
      <c r="BI85" s="73" t="s">
        <v>744</v>
      </c>
      <c r="BJ85" s="73" t="s">
        <v>745</v>
      </c>
      <c r="BK85" s="73" t="s">
        <v>746</v>
      </c>
      <c r="BL85" s="73" t="s">
        <v>747</v>
      </c>
      <c r="BM85" s="73" t="s">
        <v>748</v>
      </c>
      <c r="BN85" s="73" t="s">
        <v>749</v>
      </c>
      <c r="BO85" s="73" t="s">
        <v>750</v>
      </c>
      <c r="BP85" s="73" t="s">
        <v>751</v>
      </c>
      <c r="BQ85" s="73" t="s">
        <v>752</v>
      </c>
      <c r="BR85" s="73" t="s">
        <v>753</v>
      </c>
      <c r="BS85" s="73" t="s">
        <v>754</v>
      </c>
      <c r="BT85" s="73" t="s">
        <v>755</v>
      </c>
      <c r="BU85" s="73" t="s">
        <v>756</v>
      </c>
      <c r="BV85" s="73" t="s">
        <v>757</v>
      </c>
      <c r="BW85" s="73" t="s">
        <v>758</v>
      </c>
    </row>
    <row r="86" spans="1:75">
      <c r="A86" s="205">
        <v>39239</v>
      </c>
      <c r="B86" s="205"/>
      <c r="C86" s="250"/>
      <c r="D86" s="251"/>
      <c r="E86" s="251"/>
      <c r="F86" s="251"/>
      <c r="G86" s="251"/>
      <c r="H86" s="251"/>
      <c r="I86" s="251"/>
      <c r="J86" s="251"/>
      <c r="K86" s="251"/>
      <c r="L86" s="251"/>
      <c r="M86" s="251"/>
      <c r="N86" s="251"/>
      <c r="O86" s="251"/>
      <c r="P86" s="251"/>
      <c r="Q86" s="251"/>
      <c r="R86" s="251"/>
      <c r="S86" s="223"/>
      <c r="T86" s="224"/>
      <c r="U86" s="75">
        <v>39239</v>
      </c>
      <c r="V86" s="252"/>
      <c r="W86" s="223"/>
      <c r="X86" s="223"/>
      <c r="Y86" s="223"/>
      <c r="Z86" s="223"/>
      <c r="AA86" s="223"/>
      <c r="AB86" s="223"/>
      <c r="AC86" s="223"/>
      <c r="AD86" s="223"/>
      <c r="AE86" s="223"/>
      <c r="AF86" s="223"/>
      <c r="AG86" s="223"/>
      <c r="AH86" s="223"/>
      <c r="AI86" s="223"/>
      <c r="AJ86" s="223"/>
      <c r="AK86" s="223"/>
      <c r="AL86" s="223"/>
      <c r="AM86" s="224"/>
      <c r="AN86" s="75">
        <v>39239</v>
      </c>
      <c r="AO86" s="226">
        <f t="shared" ref="AO86:AO117" si="19">C86-V86</f>
        <v>0</v>
      </c>
      <c r="AP86" s="223">
        <f t="shared" ref="AP86:AP117" si="20">D86-W86</f>
        <v>0</v>
      </c>
      <c r="AQ86" s="223">
        <f t="shared" ref="AQ86:AQ117" si="21">E86-X86</f>
        <v>0</v>
      </c>
      <c r="AR86" s="223">
        <f t="shared" ref="AR86:AR117" si="22">F86-Y86</f>
        <v>0</v>
      </c>
      <c r="AS86" s="223">
        <f t="shared" ref="AS86:AS117" si="23">G86-Z86</f>
        <v>0</v>
      </c>
      <c r="AT86" s="223">
        <f t="shared" ref="AT86:AT117" si="24">H86-AA86</f>
        <v>0</v>
      </c>
      <c r="AU86" s="223">
        <f t="shared" ref="AU86:AU117" si="25">I86-AB86</f>
        <v>0</v>
      </c>
      <c r="AV86" s="223">
        <f t="shared" ref="AV86:AV117" si="26">J86-AC86</f>
        <v>0</v>
      </c>
      <c r="AW86" s="223">
        <f t="shared" ref="AW86:AW117" si="27">K86-AD86</f>
        <v>0</v>
      </c>
      <c r="AX86" s="223">
        <f t="shared" ref="AX86:AX117" si="28">L86-AE86</f>
        <v>0</v>
      </c>
      <c r="AY86" s="223">
        <f t="shared" ref="AY86:AY117" si="29">M86-AF86</f>
        <v>0</v>
      </c>
      <c r="AZ86" s="223">
        <f t="shared" ref="AZ86:AZ117" si="30">N86-AG86</f>
        <v>0</v>
      </c>
      <c r="BA86" s="223">
        <f t="shared" ref="BA86:BA117" si="31">O86-AH86</f>
        <v>0</v>
      </c>
      <c r="BB86" s="223">
        <f t="shared" ref="BB86:BB117" si="32">P86-AI86</f>
        <v>0</v>
      </c>
      <c r="BC86" s="223">
        <f t="shared" ref="BC86:BC117" si="33">Q86-AJ86</f>
        <v>0</v>
      </c>
      <c r="BD86" s="223">
        <f t="shared" ref="BD86:BD117" si="34">R86-AK86</f>
        <v>0</v>
      </c>
      <c r="BE86" s="224">
        <f t="shared" ref="BE86:BE117" si="35">S86-AL86</f>
        <v>0</v>
      </c>
      <c r="BF86" s="75">
        <v>39239</v>
      </c>
      <c r="BG86" s="253">
        <f t="shared" ref="BG86:BP87" si="36">+AO86</f>
        <v>0</v>
      </c>
      <c r="BH86" s="254">
        <f t="shared" si="36"/>
        <v>0</v>
      </c>
      <c r="BI86" s="254">
        <f t="shared" si="36"/>
        <v>0</v>
      </c>
      <c r="BJ86" s="254">
        <f t="shared" si="36"/>
        <v>0</v>
      </c>
      <c r="BK86" s="254">
        <f t="shared" si="36"/>
        <v>0</v>
      </c>
      <c r="BL86" s="254">
        <f t="shared" si="36"/>
        <v>0</v>
      </c>
      <c r="BM86" s="254">
        <f t="shared" si="36"/>
        <v>0</v>
      </c>
      <c r="BN86" s="254">
        <f t="shared" si="36"/>
        <v>0</v>
      </c>
      <c r="BO86" s="254">
        <f t="shared" si="36"/>
        <v>0</v>
      </c>
      <c r="BP86" s="254">
        <f t="shared" si="36"/>
        <v>0</v>
      </c>
      <c r="BQ86" s="254">
        <f t="shared" ref="BQ86:BW87" si="37">+AY86</f>
        <v>0</v>
      </c>
      <c r="BR86" s="254">
        <f t="shared" si="37"/>
        <v>0</v>
      </c>
      <c r="BS86" s="254">
        <f t="shared" si="37"/>
        <v>0</v>
      </c>
      <c r="BT86" s="254">
        <f t="shared" si="37"/>
        <v>0</v>
      </c>
      <c r="BU86" s="254">
        <f t="shared" si="37"/>
        <v>0</v>
      </c>
      <c r="BV86" s="254">
        <f t="shared" si="37"/>
        <v>0</v>
      </c>
      <c r="BW86" s="255">
        <f t="shared" si="37"/>
        <v>0</v>
      </c>
    </row>
    <row r="87" spans="1:75">
      <c r="A87" s="205">
        <v>39253</v>
      </c>
      <c r="B87" s="205"/>
      <c r="C87" s="256">
        <f t="shared" ref="C87:S87" si="38">ROUND((C3-C4),2)</f>
        <v>0</v>
      </c>
      <c r="D87" s="230">
        <f>((D3-D4))</f>
        <v>0</v>
      </c>
      <c r="E87" s="230">
        <f>((E3-E4))</f>
        <v>0</v>
      </c>
      <c r="F87" s="230">
        <f t="shared" si="38"/>
        <v>0</v>
      </c>
      <c r="G87" s="230">
        <f t="shared" si="38"/>
        <v>0</v>
      </c>
      <c r="H87" s="230">
        <f t="shared" si="38"/>
        <v>0</v>
      </c>
      <c r="I87" s="230">
        <f t="shared" si="38"/>
        <v>0</v>
      </c>
      <c r="J87" s="230">
        <f t="shared" si="38"/>
        <v>0</v>
      </c>
      <c r="K87" s="230">
        <f t="shared" si="38"/>
        <v>0</v>
      </c>
      <c r="L87" s="230">
        <f t="shared" si="38"/>
        <v>0</v>
      </c>
      <c r="M87" s="230">
        <f t="shared" si="38"/>
        <v>0</v>
      </c>
      <c r="N87" s="230">
        <f t="shared" si="38"/>
        <v>0</v>
      </c>
      <c r="O87" s="230">
        <f t="shared" si="38"/>
        <v>0</v>
      </c>
      <c r="P87" s="230">
        <f t="shared" si="38"/>
        <v>0</v>
      </c>
      <c r="Q87" s="230">
        <f t="shared" si="38"/>
        <v>0</v>
      </c>
      <c r="R87" s="230">
        <f t="shared" si="38"/>
        <v>0</v>
      </c>
      <c r="S87" s="208">
        <f t="shared" si="38"/>
        <v>0</v>
      </c>
      <c r="T87" s="246">
        <f t="shared" ref="T87:T118" si="39">SUM(C87:S87)</f>
        <v>0</v>
      </c>
      <c r="U87" s="75">
        <v>39253</v>
      </c>
      <c r="V87" s="257"/>
      <c r="W87" s="231"/>
      <c r="X87" s="231"/>
      <c r="Y87" s="231"/>
      <c r="Z87" s="231"/>
      <c r="AA87" s="231"/>
      <c r="AB87" s="231"/>
      <c r="AC87" s="231"/>
      <c r="AD87" s="231"/>
      <c r="AE87" s="231"/>
      <c r="AF87" s="231"/>
      <c r="AG87" s="231"/>
      <c r="AH87" s="231"/>
      <c r="AI87" s="231"/>
      <c r="AJ87" s="231"/>
      <c r="AK87" s="231"/>
      <c r="AL87" s="231"/>
      <c r="AM87" s="232"/>
      <c r="AN87" s="75">
        <v>39253</v>
      </c>
      <c r="AO87" s="233">
        <f t="shared" si="19"/>
        <v>0</v>
      </c>
      <c r="AP87" s="231">
        <f t="shared" si="20"/>
        <v>0</v>
      </c>
      <c r="AQ87" s="231">
        <f t="shared" si="21"/>
        <v>0</v>
      </c>
      <c r="AR87" s="231">
        <f t="shared" si="22"/>
        <v>0</v>
      </c>
      <c r="AS87" s="231">
        <f t="shared" si="23"/>
        <v>0</v>
      </c>
      <c r="AT87" s="231">
        <f t="shared" si="24"/>
        <v>0</v>
      </c>
      <c r="AU87" s="231">
        <f t="shared" si="25"/>
        <v>0</v>
      </c>
      <c r="AV87" s="231">
        <f t="shared" si="26"/>
        <v>0</v>
      </c>
      <c r="AW87" s="231">
        <f t="shared" si="27"/>
        <v>0</v>
      </c>
      <c r="AX87" s="231">
        <f t="shared" si="28"/>
        <v>0</v>
      </c>
      <c r="AY87" s="231">
        <f t="shared" si="29"/>
        <v>0</v>
      </c>
      <c r="AZ87" s="231">
        <f t="shared" si="30"/>
        <v>0</v>
      </c>
      <c r="BA87" s="231">
        <f t="shared" si="31"/>
        <v>0</v>
      </c>
      <c r="BB87" s="231">
        <f t="shared" si="32"/>
        <v>0</v>
      </c>
      <c r="BC87" s="231">
        <f t="shared" si="33"/>
        <v>0</v>
      </c>
      <c r="BD87" s="231">
        <f t="shared" si="34"/>
        <v>0</v>
      </c>
      <c r="BE87" s="232">
        <f t="shared" si="35"/>
        <v>0</v>
      </c>
      <c r="BF87" s="75">
        <v>39253</v>
      </c>
      <c r="BG87" s="258">
        <f t="shared" si="36"/>
        <v>0</v>
      </c>
      <c r="BH87" s="259">
        <f t="shared" si="36"/>
        <v>0</v>
      </c>
      <c r="BI87" s="259">
        <f t="shared" si="36"/>
        <v>0</v>
      </c>
      <c r="BJ87" s="259">
        <f t="shared" si="36"/>
        <v>0</v>
      </c>
      <c r="BK87" s="259">
        <f t="shared" si="36"/>
        <v>0</v>
      </c>
      <c r="BL87" s="259">
        <f t="shared" si="36"/>
        <v>0</v>
      </c>
      <c r="BM87" s="259">
        <f t="shared" si="36"/>
        <v>0</v>
      </c>
      <c r="BN87" s="259">
        <f t="shared" si="36"/>
        <v>0</v>
      </c>
      <c r="BO87" s="259">
        <f t="shared" si="36"/>
        <v>0</v>
      </c>
      <c r="BP87" s="259">
        <f t="shared" si="36"/>
        <v>0</v>
      </c>
      <c r="BQ87" s="259">
        <f t="shared" si="37"/>
        <v>0</v>
      </c>
      <c r="BR87" s="259">
        <f t="shared" si="37"/>
        <v>0</v>
      </c>
      <c r="BS87" s="259">
        <f t="shared" si="37"/>
        <v>0</v>
      </c>
      <c r="BT87" s="259">
        <f t="shared" si="37"/>
        <v>0</v>
      </c>
      <c r="BU87" s="259">
        <f t="shared" si="37"/>
        <v>0</v>
      </c>
      <c r="BV87" s="259">
        <f t="shared" si="37"/>
        <v>0</v>
      </c>
      <c r="BW87" s="260">
        <f t="shared" si="37"/>
        <v>0</v>
      </c>
    </row>
    <row r="88" spans="1:75">
      <c r="A88" s="205">
        <v>39283</v>
      </c>
      <c r="B88" s="205"/>
      <c r="C88" s="256">
        <f t="shared" ref="C88:S88" si="40">ROUND((C4-C5),2)</f>
        <v>0</v>
      </c>
      <c r="D88" s="230">
        <f>((D4-D5))</f>
        <v>0</v>
      </c>
      <c r="E88" s="230">
        <f>((E4-E5))</f>
        <v>0</v>
      </c>
      <c r="F88" s="230">
        <f t="shared" si="40"/>
        <v>0</v>
      </c>
      <c r="G88" s="230">
        <f t="shared" si="40"/>
        <v>0</v>
      </c>
      <c r="H88" s="230">
        <f t="shared" si="40"/>
        <v>0</v>
      </c>
      <c r="I88" s="230">
        <f t="shared" si="40"/>
        <v>0</v>
      </c>
      <c r="J88" s="230">
        <f t="shared" si="40"/>
        <v>0</v>
      </c>
      <c r="K88" s="230">
        <f t="shared" si="40"/>
        <v>0</v>
      </c>
      <c r="L88" s="230">
        <f t="shared" si="40"/>
        <v>0</v>
      </c>
      <c r="M88" s="230">
        <f t="shared" si="40"/>
        <v>0</v>
      </c>
      <c r="N88" s="230">
        <f t="shared" si="40"/>
        <v>0</v>
      </c>
      <c r="O88" s="230">
        <f t="shared" si="40"/>
        <v>0</v>
      </c>
      <c r="P88" s="230">
        <f t="shared" si="40"/>
        <v>0</v>
      </c>
      <c r="Q88" s="230">
        <f t="shared" si="40"/>
        <v>0</v>
      </c>
      <c r="R88" s="230">
        <f t="shared" si="40"/>
        <v>0</v>
      </c>
      <c r="S88" s="208">
        <f t="shared" si="40"/>
        <v>0</v>
      </c>
      <c r="T88" s="246">
        <f t="shared" si="39"/>
        <v>0</v>
      </c>
      <c r="U88" s="75">
        <v>39283</v>
      </c>
      <c r="V88" s="257"/>
      <c r="W88" s="231"/>
      <c r="X88" s="231"/>
      <c r="Y88" s="231"/>
      <c r="Z88" s="231"/>
      <c r="AA88" s="231"/>
      <c r="AB88" s="231"/>
      <c r="AC88" s="231"/>
      <c r="AD88" s="231"/>
      <c r="AE88" s="231"/>
      <c r="AF88" s="231"/>
      <c r="AG88" s="231"/>
      <c r="AH88" s="231"/>
      <c r="AI88" s="231"/>
      <c r="AJ88" s="231"/>
      <c r="AK88" s="231"/>
      <c r="AL88" s="231"/>
      <c r="AM88" s="232"/>
      <c r="AN88" s="75">
        <v>39283</v>
      </c>
      <c r="AO88" s="233">
        <f t="shared" si="19"/>
        <v>0</v>
      </c>
      <c r="AP88" s="231">
        <f t="shared" si="20"/>
        <v>0</v>
      </c>
      <c r="AQ88" s="231">
        <f t="shared" si="21"/>
        <v>0</v>
      </c>
      <c r="AR88" s="231">
        <f t="shared" si="22"/>
        <v>0</v>
      </c>
      <c r="AS88" s="231">
        <f t="shared" si="23"/>
        <v>0</v>
      </c>
      <c r="AT88" s="231">
        <f t="shared" si="24"/>
        <v>0</v>
      </c>
      <c r="AU88" s="231">
        <f t="shared" si="25"/>
        <v>0</v>
      </c>
      <c r="AV88" s="231">
        <f t="shared" si="26"/>
        <v>0</v>
      </c>
      <c r="AW88" s="231">
        <f t="shared" si="27"/>
        <v>0</v>
      </c>
      <c r="AX88" s="231">
        <f t="shared" si="28"/>
        <v>0</v>
      </c>
      <c r="AY88" s="231">
        <f t="shared" si="29"/>
        <v>0</v>
      </c>
      <c r="AZ88" s="231">
        <f t="shared" si="30"/>
        <v>0</v>
      </c>
      <c r="BA88" s="231">
        <f t="shared" si="31"/>
        <v>0</v>
      </c>
      <c r="BB88" s="231">
        <f t="shared" si="32"/>
        <v>0</v>
      </c>
      <c r="BC88" s="231">
        <f t="shared" si="33"/>
        <v>0</v>
      </c>
      <c r="BD88" s="231">
        <f t="shared" si="34"/>
        <v>0</v>
      </c>
      <c r="BE88" s="232">
        <f t="shared" si="35"/>
        <v>0</v>
      </c>
      <c r="BF88" s="75">
        <v>39283</v>
      </c>
      <c r="BG88" s="258">
        <f t="shared" ref="BG88:BG118" si="41">+BG87+AO88</f>
        <v>0</v>
      </c>
      <c r="BH88" s="259">
        <f t="shared" ref="BH88:BH119" si="42">+BH87+AP88</f>
        <v>0</v>
      </c>
      <c r="BI88" s="259">
        <f t="shared" ref="BI88:BI119" si="43">+BI87+AQ88</f>
        <v>0</v>
      </c>
      <c r="BJ88" s="259">
        <f t="shared" ref="BJ88:BJ119" si="44">+BJ87+AR88</f>
        <v>0</v>
      </c>
      <c r="BK88" s="259">
        <f t="shared" ref="BK88:BK119" si="45">+BK87+AS88</f>
        <v>0</v>
      </c>
      <c r="BL88" s="259">
        <f t="shared" ref="BL88:BL119" si="46">+BL87+AT88</f>
        <v>0</v>
      </c>
      <c r="BM88" s="259">
        <f t="shared" ref="BM88:BM119" si="47">+BM87+AU88</f>
        <v>0</v>
      </c>
      <c r="BN88" s="259">
        <f t="shared" ref="BN88:BN119" si="48">+BN87+AV88</f>
        <v>0</v>
      </c>
      <c r="BO88" s="259">
        <f t="shared" ref="BO88:BO119" si="49">+BO87+AW88</f>
        <v>0</v>
      </c>
      <c r="BP88" s="259">
        <f t="shared" ref="BP88:BP118" si="50">+BP87+AX88</f>
        <v>0</v>
      </c>
      <c r="BQ88" s="259">
        <f t="shared" ref="BQ88:BQ119" si="51">+BQ87+AY88</f>
        <v>0</v>
      </c>
      <c r="BR88" s="259">
        <f t="shared" ref="BR88:BR119" si="52">+BR87+AZ88</f>
        <v>0</v>
      </c>
      <c r="BS88" s="259">
        <f t="shared" ref="BS88:BS119" si="53">+BS87+BA88</f>
        <v>0</v>
      </c>
      <c r="BT88" s="259">
        <f t="shared" ref="BT88:BT119" si="54">+BT87+BB88</f>
        <v>0</v>
      </c>
      <c r="BU88" s="259">
        <f t="shared" ref="BU88:BU119" si="55">+BU87+BC88</f>
        <v>0</v>
      </c>
      <c r="BV88" s="259">
        <f t="shared" ref="BV88:BV119" si="56">+BV87+BD88</f>
        <v>0</v>
      </c>
      <c r="BW88" s="260">
        <f t="shared" ref="BW88:BW119" si="57">+BW87+BE88</f>
        <v>0</v>
      </c>
    </row>
    <row r="89" spans="1:75">
      <c r="A89" s="205">
        <v>39314</v>
      </c>
      <c r="B89" s="205"/>
      <c r="C89" s="687">
        <f t="shared" ref="C89:E104" si="58">ROUND((C5-C6),2)</f>
        <v>153258198.27000001</v>
      </c>
      <c r="D89" s="364">
        <f t="shared" si="58"/>
        <v>33169452.91</v>
      </c>
      <c r="E89" s="364">
        <f t="shared" si="58"/>
        <v>10895928.1</v>
      </c>
      <c r="F89" s="230">
        <f t="shared" ref="F89:S89" si="59">ROUND((F5-F6),2)</f>
        <v>0</v>
      </c>
      <c r="G89" s="230">
        <f t="shared" si="59"/>
        <v>0</v>
      </c>
      <c r="H89" s="230">
        <f t="shared" si="59"/>
        <v>0</v>
      </c>
      <c r="I89" s="230">
        <f t="shared" si="59"/>
        <v>0</v>
      </c>
      <c r="J89" s="230">
        <f t="shared" si="59"/>
        <v>0</v>
      </c>
      <c r="K89" s="230">
        <f t="shared" si="59"/>
        <v>0</v>
      </c>
      <c r="L89" s="230">
        <f t="shared" si="59"/>
        <v>0</v>
      </c>
      <c r="M89" s="230">
        <f t="shared" si="59"/>
        <v>0</v>
      </c>
      <c r="N89" s="230">
        <f t="shared" si="59"/>
        <v>0</v>
      </c>
      <c r="O89" s="230">
        <f t="shared" si="59"/>
        <v>0</v>
      </c>
      <c r="P89" s="230">
        <f t="shared" si="59"/>
        <v>0</v>
      </c>
      <c r="Q89" s="230">
        <f t="shared" si="59"/>
        <v>0</v>
      </c>
      <c r="R89" s="230">
        <f t="shared" si="59"/>
        <v>0</v>
      </c>
      <c r="S89" s="208">
        <f t="shared" si="59"/>
        <v>0</v>
      </c>
      <c r="T89" s="261">
        <f t="shared" si="39"/>
        <v>197323579.28</v>
      </c>
      <c r="U89" s="75">
        <v>39314</v>
      </c>
      <c r="V89" s="1264">
        <v>153258198.27000001</v>
      </c>
      <c r="W89" s="1265">
        <v>33169452.91</v>
      </c>
      <c r="X89" s="1265">
        <v>10895928.1</v>
      </c>
      <c r="Y89" s="231"/>
      <c r="Z89" s="231"/>
      <c r="AA89" s="231"/>
      <c r="AB89" s="231"/>
      <c r="AC89" s="231"/>
      <c r="AD89" s="231"/>
      <c r="AE89" s="231"/>
      <c r="AF89" s="231"/>
      <c r="AG89" s="231"/>
      <c r="AH89" s="231"/>
      <c r="AI89" s="231"/>
      <c r="AJ89" s="231"/>
      <c r="AK89" s="231"/>
      <c r="AL89" s="231"/>
      <c r="AM89" s="232"/>
      <c r="AN89" s="75">
        <v>39314</v>
      </c>
      <c r="AO89" s="206">
        <f>C89-V89</f>
        <v>0</v>
      </c>
      <c r="AP89" s="208">
        <f>D89-W89</f>
        <v>0</v>
      </c>
      <c r="AQ89" s="208">
        <f>E89-X89</f>
        <v>0</v>
      </c>
      <c r="AR89" s="231">
        <f t="shared" si="22"/>
        <v>0</v>
      </c>
      <c r="AS89" s="231">
        <f t="shared" si="23"/>
        <v>0</v>
      </c>
      <c r="AT89" s="231">
        <f t="shared" si="24"/>
        <v>0</v>
      </c>
      <c r="AU89" s="231">
        <f t="shared" si="25"/>
        <v>0</v>
      </c>
      <c r="AV89" s="231">
        <f t="shared" si="26"/>
        <v>0</v>
      </c>
      <c r="AW89" s="231">
        <f t="shared" si="27"/>
        <v>0</v>
      </c>
      <c r="AX89" s="231">
        <f t="shared" si="28"/>
        <v>0</v>
      </c>
      <c r="AY89" s="231">
        <f t="shared" si="29"/>
        <v>0</v>
      </c>
      <c r="AZ89" s="231">
        <f t="shared" si="30"/>
        <v>0</v>
      </c>
      <c r="BA89" s="231">
        <f t="shared" si="31"/>
        <v>0</v>
      </c>
      <c r="BB89" s="231">
        <f t="shared" si="32"/>
        <v>0</v>
      </c>
      <c r="BC89" s="231">
        <f t="shared" si="33"/>
        <v>0</v>
      </c>
      <c r="BD89" s="231">
        <f t="shared" si="34"/>
        <v>0</v>
      </c>
      <c r="BE89" s="232">
        <f t="shared" si="35"/>
        <v>0</v>
      </c>
      <c r="BF89" s="75">
        <v>39314</v>
      </c>
      <c r="BG89" s="258">
        <f t="shared" si="41"/>
        <v>0</v>
      </c>
      <c r="BH89" s="259">
        <f t="shared" si="42"/>
        <v>0</v>
      </c>
      <c r="BI89" s="259">
        <f t="shared" si="43"/>
        <v>0</v>
      </c>
      <c r="BJ89" s="259">
        <f t="shared" si="44"/>
        <v>0</v>
      </c>
      <c r="BK89" s="259">
        <f t="shared" si="45"/>
        <v>0</v>
      </c>
      <c r="BL89" s="259">
        <f t="shared" si="46"/>
        <v>0</v>
      </c>
      <c r="BM89" s="259">
        <f t="shared" si="47"/>
        <v>0</v>
      </c>
      <c r="BN89" s="259">
        <f t="shared" si="48"/>
        <v>0</v>
      </c>
      <c r="BO89" s="259">
        <f t="shared" si="49"/>
        <v>0</v>
      </c>
      <c r="BP89" s="259">
        <f t="shared" si="50"/>
        <v>0</v>
      </c>
      <c r="BQ89" s="259">
        <f t="shared" si="51"/>
        <v>0</v>
      </c>
      <c r="BR89" s="259">
        <f t="shared" si="52"/>
        <v>0</v>
      </c>
      <c r="BS89" s="259">
        <f t="shared" si="53"/>
        <v>0</v>
      </c>
      <c r="BT89" s="259">
        <f t="shared" si="54"/>
        <v>0</v>
      </c>
      <c r="BU89" s="259">
        <f t="shared" si="55"/>
        <v>0</v>
      </c>
      <c r="BV89" s="259">
        <f t="shared" si="56"/>
        <v>0</v>
      </c>
      <c r="BW89" s="260">
        <f t="shared" si="57"/>
        <v>0</v>
      </c>
    </row>
    <row r="90" spans="1:75">
      <c r="A90" s="205">
        <v>39345</v>
      </c>
      <c r="B90" s="205"/>
      <c r="C90" s="687">
        <f t="shared" si="58"/>
        <v>0</v>
      </c>
      <c r="D90" s="364">
        <f t="shared" si="58"/>
        <v>0</v>
      </c>
      <c r="E90" s="364">
        <f t="shared" si="58"/>
        <v>0</v>
      </c>
      <c r="F90" s="230">
        <f t="shared" ref="F90:S90" si="60">ROUND((F6-F7),2)</f>
        <v>0</v>
      </c>
      <c r="G90" s="230">
        <f t="shared" si="60"/>
        <v>0</v>
      </c>
      <c r="H90" s="230">
        <f t="shared" si="60"/>
        <v>0</v>
      </c>
      <c r="I90" s="230">
        <f t="shared" si="60"/>
        <v>0</v>
      </c>
      <c r="J90" s="230">
        <f t="shared" si="60"/>
        <v>0</v>
      </c>
      <c r="K90" s="230">
        <f t="shared" si="60"/>
        <v>0</v>
      </c>
      <c r="L90" s="230">
        <f t="shared" si="60"/>
        <v>0</v>
      </c>
      <c r="M90" s="230">
        <f t="shared" si="60"/>
        <v>0</v>
      </c>
      <c r="N90" s="230">
        <f t="shared" si="60"/>
        <v>0</v>
      </c>
      <c r="O90" s="230">
        <f t="shared" si="60"/>
        <v>0</v>
      </c>
      <c r="P90" s="230">
        <f t="shared" si="60"/>
        <v>0</v>
      </c>
      <c r="Q90" s="230">
        <f t="shared" si="60"/>
        <v>0</v>
      </c>
      <c r="R90" s="230">
        <f t="shared" si="60"/>
        <v>0</v>
      </c>
      <c r="S90" s="208">
        <f t="shared" si="60"/>
        <v>0</v>
      </c>
      <c r="T90" s="246">
        <f t="shared" si="39"/>
        <v>0</v>
      </c>
      <c r="U90" s="75">
        <v>39345</v>
      </c>
      <c r="V90" s="1262"/>
      <c r="W90" s="1263"/>
      <c r="X90" s="1263"/>
      <c r="Y90" s="231"/>
      <c r="Z90" s="231"/>
      <c r="AA90" s="231"/>
      <c r="AB90" s="231"/>
      <c r="AC90" s="231"/>
      <c r="AD90" s="231"/>
      <c r="AE90" s="231"/>
      <c r="AF90" s="231"/>
      <c r="AG90" s="231"/>
      <c r="AH90" s="231"/>
      <c r="AI90" s="231"/>
      <c r="AJ90" s="231"/>
      <c r="AK90" s="231"/>
      <c r="AL90" s="231"/>
      <c r="AM90" s="232"/>
      <c r="AN90" s="75">
        <v>39345</v>
      </c>
      <c r="AO90" s="233">
        <f t="shared" si="19"/>
        <v>0</v>
      </c>
      <c r="AP90" s="231">
        <f t="shared" si="20"/>
        <v>0</v>
      </c>
      <c r="AQ90" s="231">
        <f t="shared" si="21"/>
        <v>0</v>
      </c>
      <c r="AR90" s="231">
        <f t="shared" si="22"/>
        <v>0</v>
      </c>
      <c r="AS90" s="231">
        <f t="shared" si="23"/>
        <v>0</v>
      </c>
      <c r="AT90" s="231">
        <f t="shared" si="24"/>
        <v>0</v>
      </c>
      <c r="AU90" s="231">
        <f t="shared" si="25"/>
        <v>0</v>
      </c>
      <c r="AV90" s="231">
        <f t="shared" si="26"/>
        <v>0</v>
      </c>
      <c r="AW90" s="231">
        <f t="shared" si="27"/>
        <v>0</v>
      </c>
      <c r="AX90" s="231">
        <f t="shared" si="28"/>
        <v>0</v>
      </c>
      <c r="AY90" s="231">
        <f t="shared" si="29"/>
        <v>0</v>
      </c>
      <c r="AZ90" s="231">
        <f t="shared" si="30"/>
        <v>0</v>
      </c>
      <c r="BA90" s="231">
        <f t="shared" si="31"/>
        <v>0</v>
      </c>
      <c r="BB90" s="231">
        <f t="shared" si="32"/>
        <v>0</v>
      </c>
      <c r="BC90" s="231">
        <f t="shared" si="33"/>
        <v>0</v>
      </c>
      <c r="BD90" s="231">
        <f t="shared" si="34"/>
        <v>0</v>
      </c>
      <c r="BE90" s="232">
        <f t="shared" si="35"/>
        <v>0</v>
      </c>
      <c r="BF90" s="75">
        <v>39345</v>
      </c>
      <c r="BG90" s="258">
        <f t="shared" si="41"/>
        <v>0</v>
      </c>
      <c r="BH90" s="259">
        <f t="shared" si="42"/>
        <v>0</v>
      </c>
      <c r="BI90" s="259">
        <f t="shared" si="43"/>
        <v>0</v>
      </c>
      <c r="BJ90" s="259">
        <f t="shared" si="44"/>
        <v>0</v>
      </c>
      <c r="BK90" s="259">
        <f t="shared" si="45"/>
        <v>0</v>
      </c>
      <c r="BL90" s="259">
        <f t="shared" si="46"/>
        <v>0</v>
      </c>
      <c r="BM90" s="259">
        <f t="shared" si="47"/>
        <v>0</v>
      </c>
      <c r="BN90" s="259">
        <f t="shared" si="48"/>
        <v>0</v>
      </c>
      <c r="BO90" s="259">
        <f t="shared" si="49"/>
        <v>0</v>
      </c>
      <c r="BP90" s="259">
        <f t="shared" si="50"/>
        <v>0</v>
      </c>
      <c r="BQ90" s="259">
        <f t="shared" si="51"/>
        <v>0</v>
      </c>
      <c r="BR90" s="259">
        <f t="shared" si="52"/>
        <v>0</v>
      </c>
      <c r="BS90" s="259">
        <f t="shared" si="53"/>
        <v>0</v>
      </c>
      <c r="BT90" s="259">
        <f t="shared" si="54"/>
        <v>0</v>
      </c>
      <c r="BU90" s="259">
        <f t="shared" si="55"/>
        <v>0</v>
      </c>
      <c r="BV90" s="259">
        <f t="shared" si="56"/>
        <v>0</v>
      </c>
      <c r="BW90" s="260">
        <f t="shared" si="57"/>
        <v>0</v>
      </c>
    </row>
    <row r="91" spans="1:75">
      <c r="A91" s="205">
        <v>39375</v>
      </c>
      <c r="B91" s="205"/>
      <c r="C91" s="687">
        <f t="shared" si="58"/>
        <v>0</v>
      </c>
      <c r="D91" s="364">
        <f t="shared" si="58"/>
        <v>0</v>
      </c>
      <c r="E91" s="364">
        <f t="shared" si="58"/>
        <v>0</v>
      </c>
      <c r="F91" s="230">
        <f t="shared" ref="F91:S91" si="61">ROUND((F7-F8),2)</f>
        <v>0</v>
      </c>
      <c r="G91" s="230">
        <f t="shared" si="61"/>
        <v>0</v>
      </c>
      <c r="H91" s="230">
        <f t="shared" si="61"/>
        <v>0</v>
      </c>
      <c r="I91" s="230">
        <f t="shared" si="61"/>
        <v>0</v>
      </c>
      <c r="J91" s="230">
        <f t="shared" si="61"/>
        <v>0</v>
      </c>
      <c r="K91" s="230">
        <f t="shared" si="61"/>
        <v>0</v>
      </c>
      <c r="L91" s="230">
        <f t="shared" si="61"/>
        <v>0</v>
      </c>
      <c r="M91" s="230">
        <f t="shared" si="61"/>
        <v>0</v>
      </c>
      <c r="N91" s="230">
        <f t="shared" si="61"/>
        <v>0</v>
      </c>
      <c r="O91" s="230">
        <f t="shared" si="61"/>
        <v>0</v>
      </c>
      <c r="P91" s="230">
        <f t="shared" si="61"/>
        <v>0</v>
      </c>
      <c r="Q91" s="230">
        <f t="shared" si="61"/>
        <v>0</v>
      </c>
      <c r="R91" s="230">
        <f t="shared" si="61"/>
        <v>0</v>
      </c>
      <c r="S91" s="208">
        <f t="shared" si="61"/>
        <v>0</v>
      </c>
      <c r="T91" s="246">
        <f t="shared" si="39"/>
        <v>0</v>
      </c>
      <c r="U91" s="75">
        <v>39375</v>
      </c>
      <c r="V91" s="1262"/>
      <c r="W91" s="1263"/>
      <c r="X91" s="1263"/>
      <c r="Y91" s="231"/>
      <c r="Z91" s="231"/>
      <c r="AA91" s="231"/>
      <c r="AB91" s="231"/>
      <c r="AC91" s="231"/>
      <c r="AD91" s="231"/>
      <c r="AE91" s="231"/>
      <c r="AF91" s="231"/>
      <c r="AG91" s="231"/>
      <c r="AH91" s="231"/>
      <c r="AI91" s="231"/>
      <c r="AJ91" s="231"/>
      <c r="AK91" s="231"/>
      <c r="AL91" s="231"/>
      <c r="AM91" s="232"/>
      <c r="AN91" s="75">
        <v>39375</v>
      </c>
      <c r="AO91" s="233">
        <f t="shared" si="19"/>
        <v>0</v>
      </c>
      <c r="AP91" s="231">
        <f t="shared" si="20"/>
        <v>0</v>
      </c>
      <c r="AQ91" s="231">
        <f t="shared" si="21"/>
        <v>0</v>
      </c>
      <c r="AR91" s="231">
        <f t="shared" si="22"/>
        <v>0</v>
      </c>
      <c r="AS91" s="231">
        <f t="shared" si="23"/>
        <v>0</v>
      </c>
      <c r="AT91" s="231">
        <f t="shared" si="24"/>
        <v>0</v>
      </c>
      <c r="AU91" s="231">
        <f t="shared" si="25"/>
        <v>0</v>
      </c>
      <c r="AV91" s="231">
        <f t="shared" si="26"/>
        <v>0</v>
      </c>
      <c r="AW91" s="231">
        <f t="shared" si="27"/>
        <v>0</v>
      </c>
      <c r="AX91" s="231">
        <f t="shared" si="28"/>
        <v>0</v>
      </c>
      <c r="AY91" s="231">
        <f t="shared" si="29"/>
        <v>0</v>
      </c>
      <c r="AZ91" s="231">
        <f t="shared" si="30"/>
        <v>0</v>
      </c>
      <c r="BA91" s="231">
        <f t="shared" si="31"/>
        <v>0</v>
      </c>
      <c r="BB91" s="231">
        <f t="shared" si="32"/>
        <v>0</v>
      </c>
      <c r="BC91" s="231">
        <f t="shared" si="33"/>
        <v>0</v>
      </c>
      <c r="BD91" s="231">
        <f t="shared" si="34"/>
        <v>0</v>
      </c>
      <c r="BE91" s="232">
        <f t="shared" si="35"/>
        <v>0</v>
      </c>
      <c r="BF91" s="75">
        <v>39375</v>
      </c>
      <c r="BG91" s="258">
        <f t="shared" si="41"/>
        <v>0</v>
      </c>
      <c r="BH91" s="259">
        <f t="shared" si="42"/>
        <v>0</v>
      </c>
      <c r="BI91" s="259">
        <f t="shared" si="43"/>
        <v>0</v>
      </c>
      <c r="BJ91" s="259">
        <f t="shared" si="44"/>
        <v>0</v>
      </c>
      <c r="BK91" s="259">
        <f t="shared" si="45"/>
        <v>0</v>
      </c>
      <c r="BL91" s="259">
        <f t="shared" si="46"/>
        <v>0</v>
      </c>
      <c r="BM91" s="259">
        <f t="shared" si="47"/>
        <v>0</v>
      </c>
      <c r="BN91" s="259">
        <f t="shared" si="48"/>
        <v>0</v>
      </c>
      <c r="BO91" s="259">
        <f t="shared" si="49"/>
        <v>0</v>
      </c>
      <c r="BP91" s="259">
        <f t="shared" si="50"/>
        <v>0</v>
      </c>
      <c r="BQ91" s="259">
        <f t="shared" si="51"/>
        <v>0</v>
      </c>
      <c r="BR91" s="259">
        <f t="shared" si="52"/>
        <v>0</v>
      </c>
      <c r="BS91" s="259">
        <f t="shared" si="53"/>
        <v>0</v>
      </c>
      <c r="BT91" s="259">
        <f t="shared" si="54"/>
        <v>0</v>
      </c>
      <c r="BU91" s="259">
        <f t="shared" si="55"/>
        <v>0</v>
      </c>
      <c r="BV91" s="259">
        <f t="shared" si="56"/>
        <v>0</v>
      </c>
      <c r="BW91" s="260">
        <f t="shared" si="57"/>
        <v>0</v>
      </c>
    </row>
    <row r="92" spans="1:75">
      <c r="A92" s="205">
        <v>39406</v>
      </c>
      <c r="B92" s="205"/>
      <c r="C92" s="687">
        <f t="shared" si="58"/>
        <v>443040427.61000001</v>
      </c>
      <c r="D92" s="364">
        <f t="shared" si="58"/>
        <v>95886606.829999998</v>
      </c>
      <c r="E92" s="364">
        <f t="shared" si="58"/>
        <v>31498064.690000001</v>
      </c>
      <c r="F92" s="230">
        <f t="shared" ref="F92:S92" si="62">ROUND((F8-F9),2)</f>
        <v>0</v>
      </c>
      <c r="G92" s="230">
        <f t="shared" si="62"/>
        <v>0</v>
      </c>
      <c r="H92" s="230">
        <f t="shared" si="62"/>
        <v>0</v>
      </c>
      <c r="I92" s="230">
        <f t="shared" si="62"/>
        <v>0</v>
      </c>
      <c r="J92" s="230">
        <f t="shared" si="62"/>
        <v>0</v>
      </c>
      <c r="K92" s="230">
        <f t="shared" si="62"/>
        <v>0</v>
      </c>
      <c r="L92" s="230">
        <f t="shared" si="62"/>
        <v>0</v>
      </c>
      <c r="M92" s="230">
        <f t="shared" si="62"/>
        <v>0</v>
      </c>
      <c r="N92" s="230">
        <f t="shared" si="62"/>
        <v>0</v>
      </c>
      <c r="O92" s="230">
        <f t="shared" si="62"/>
        <v>0</v>
      </c>
      <c r="P92" s="230">
        <f t="shared" si="62"/>
        <v>0</v>
      </c>
      <c r="Q92" s="230">
        <f t="shared" si="62"/>
        <v>0</v>
      </c>
      <c r="R92" s="230">
        <f t="shared" si="62"/>
        <v>0</v>
      </c>
      <c r="S92" s="208">
        <f t="shared" si="62"/>
        <v>0</v>
      </c>
      <c r="T92" s="246">
        <f t="shared" si="39"/>
        <v>570425099.13000011</v>
      </c>
      <c r="U92" s="75">
        <v>39406</v>
      </c>
      <c r="V92" s="1264">
        <v>443040427.61000001</v>
      </c>
      <c r="W92" s="1265">
        <v>95886606.829999998</v>
      </c>
      <c r="X92" s="1265">
        <v>31498064.690000001</v>
      </c>
      <c r="Y92" s="231"/>
      <c r="Z92" s="231"/>
      <c r="AA92" s="231"/>
      <c r="AB92" s="231"/>
      <c r="AC92" s="231"/>
      <c r="AD92" s="231"/>
      <c r="AE92" s="231"/>
      <c r="AF92" s="231"/>
      <c r="AG92" s="231"/>
      <c r="AH92" s="231"/>
      <c r="AI92" s="231"/>
      <c r="AJ92" s="231"/>
      <c r="AK92" s="231"/>
      <c r="AL92" s="231"/>
      <c r="AM92" s="232"/>
      <c r="AN92" s="75">
        <v>39406</v>
      </c>
      <c r="AO92" s="206">
        <f>C92-V92</f>
        <v>0</v>
      </c>
      <c r="AP92" s="208">
        <f>D92-W92</f>
        <v>0</v>
      </c>
      <c r="AQ92" s="208">
        <f>E92-X92</f>
        <v>0</v>
      </c>
      <c r="AR92" s="231">
        <f t="shared" si="22"/>
        <v>0</v>
      </c>
      <c r="AS92" s="231">
        <f t="shared" si="23"/>
        <v>0</v>
      </c>
      <c r="AT92" s="231">
        <f t="shared" si="24"/>
        <v>0</v>
      </c>
      <c r="AU92" s="231">
        <f t="shared" si="25"/>
        <v>0</v>
      </c>
      <c r="AV92" s="231">
        <f t="shared" si="26"/>
        <v>0</v>
      </c>
      <c r="AW92" s="231">
        <f t="shared" si="27"/>
        <v>0</v>
      </c>
      <c r="AX92" s="231">
        <f t="shared" si="28"/>
        <v>0</v>
      </c>
      <c r="AY92" s="231">
        <f t="shared" si="29"/>
        <v>0</v>
      </c>
      <c r="AZ92" s="231">
        <f t="shared" si="30"/>
        <v>0</v>
      </c>
      <c r="BA92" s="231">
        <f t="shared" si="31"/>
        <v>0</v>
      </c>
      <c r="BB92" s="231">
        <f t="shared" si="32"/>
        <v>0</v>
      </c>
      <c r="BC92" s="231">
        <f t="shared" si="33"/>
        <v>0</v>
      </c>
      <c r="BD92" s="231">
        <f t="shared" si="34"/>
        <v>0</v>
      </c>
      <c r="BE92" s="232">
        <f t="shared" si="35"/>
        <v>0</v>
      </c>
      <c r="BF92" s="75">
        <v>39406</v>
      </c>
      <c r="BG92" s="258">
        <f>+BG91+AO92</f>
        <v>0</v>
      </c>
      <c r="BH92" s="259">
        <f t="shared" si="42"/>
        <v>0</v>
      </c>
      <c r="BI92" s="259">
        <f>+BI91+AQ92</f>
        <v>0</v>
      </c>
      <c r="BJ92" s="259">
        <f t="shared" si="44"/>
        <v>0</v>
      </c>
      <c r="BK92" s="259">
        <f t="shared" si="45"/>
        <v>0</v>
      </c>
      <c r="BL92" s="259">
        <f t="shared" si="46"/>
        <v>0</v>
      </c>
      <c r="BM92" s="259">
        <f t="shared" si="47"/>
        <v>0</v>
      </c>
      <c r="BN92" s="259">
        <f t="shared" si="48"/>
        <v>0</v>
      </c>
      <c r="BO92" s="259">
        <f t="shared" si="49"/>
        <v>0</v>
      </c>
      <c r="BP92" s="259">
        <f t="shared" si="50"/>
        <v>0</v>
      </c>
      <c r="BQ92" s="259">
        <f t="shared" si="51"/>
        <v>0</v>
      </c>
      <c r="BR92" s="259">
        <f t="shared" si="52"/>
        <v>0</v>
      </c>
      <c r="BS92" s="259">
        <f t="shared" si="53"/>
        <v>0</v>
      </c>
      <c r="BT92" s="259">
        <f t="shared" si="54"/>
        <v>0</v>
      </c>
      <c r="BU92" s="259">
        <f t="shared" si="55"/>
        <v>0</v>
      </c>
      <c r="BV92" s="259">
        <f t="shared" si="56"/>
        <v>0</v>
      </c>
      <c r="BW92" s="260">
        <f t="shared" si="57"/>
        <v>0</v>
      </c>
    </row>
    <row r="93" spans="1:75">
      <c r="A93" s="205">
        <v>39436</v>
      </c>
      <c r="B93" s="205"/>
      <c r="C93" s="687">
        <f t="shared" si="58"/>
        <v>0</v>
      </c>
      <c r="D93" s="364">
        <f t="shared" si="58"/>
        <v>0</v>
      </c>
      <c r="E93" s="364">
        <f t="shared" si="58"/>
        <v>0</v>
      </c>
      <c r="F93" s="230">
        <f t="shared" ref="F93:S93" si="63">ROUND((F9-F10),2)</f>
        <v>0</v>
      </c>
      <c r="G93" s="230">
        <f t="shared" si="63"/>
        <v>0</v>
      </c>
      <c r="H93" s="230">
        <f t="shared" si="63"/>
        <v>0</v>
      </c>
      <c r="I93" s="230">
        <f t="shared" si="63"/>
        <v>0</v>
      </c>
      <c r="J93" s="230">
        <f t="shared" si="63"/>
        <v>0</v>
      </c>
      <c r="K93" s="230">
        <f t="shared" si="63"/>
        <v>0</v>
      </c>
      <c r="L93" s="230">
        <f t="shared" si="63"/>
        <v>0</v>
      </c>
      <c r="M93" s="230">
        <f t="shared" si="63"/>
        <v>0</v>
      </c>
      <c r="N93" s="230">
        <f t="shared" si="63"/>
        <v>0</v>
      </c>
      <c r="O93" s="230">
        <f t="shared" si="63"/>
        <v>0</v>
      </c>
      <c r="P93" s="230">
        <f t="shared" si="63"/>
        <v>0</v>
      </c>
      <c r="Q93" s="230">
        <f t="shared" si="63"/>
        <v>0</v>
      </c>
      <c r="R93" s="230">
        <f t="shared" si="63"/>
        <v>0</v>
      </c>
      <c r="S93" s="208">
        <f t="shared" si="63"/>
        <v>0</v>
      </c>
      <c r="T93" s="246">
        <f t="shared" si="39"/>
        <v>0</v>
      </c>
      <c r="U93" s="75">
        <v>39436</v>
      </c>
      <c r="V93" s="1262"/>
      <c r="W93" s="1263"/>
      <c r="X93" s="1263"/>
      <c r="Y93" s="231"/>
      <c r="Z93" s="231"/>
      <c r="AA93" s="231"/>
      <c r="AB93" s="231"/>
      <c r="AC93" s="231"/>
      <c r="AD93" s="231"/>
      <c r="AE93" s="231"/>
      <c r="AF93" s="231"/>
      <c r="AG93" s="231"/>
      <c r="AH93" s="231"/>
      <c r="AI93" s="231"/>
      <c r="AJ93" s="231"/>
      <c r="AK93" s="231"/>
      <c r="AL93" s="231"/>
      <c r="AM93" s="232"/>
      <c r="AN93" s="75">
        <v>39436</v>
      </c>
      <c r="AO93" s="233">
        <f t="shared" si="19"/>
        <v>0</v>
      </c>
      <c r="AP93" s="231">
        <f t="shared" si="20"/>
        <v>0</v>
      </c>
      <c r="AQ93" s="231">
        <f t="shared" si="21"/>
        <v>0</v>
      </c>
      <c r="AR93" s="231">
        <f t="shared" si="22"/>
        <v>0</v>
      </c>
      <c r="AS93" s="231">
        <f t="shared" si="23"/>
        <v>0</v>
      </c>
      <c r="AT93" s="231">
        <f t="shared" si="24"/>
        <v>0</v>
      </c>
      <c r="AU93" s="231">
        <f t="shared" si="25"/>
        <v>0</v>
      </c>
      <c r="AV93" s="231">
        <f t="shared" si="26"/>
        <v>0</v>
      </c>
      <c r="AW93" s="231">
        <f t="shared" si="27"/>
        <v>0</v>
      </c>
      <c r="AX93" s="231">
        <f t="shared" si="28"/>
        <v>0</v>
      </c>
      <c r="AY93" s="231">
        <f t="shared" si="29"/>
        <v>0</v>
      </c>
      <c r="AZ93" s="231">
        <f t="shared" si="30"/>
        <v>0</v>
      </c>
      <c r="BA93" s="231">
        <f t="shared" si="31"/>
        <v>0</v>
      </c>
      <c r="BB93" s="231">
        <f t="shared" si="32"/>
        <v>0</v>
      </c>
      <c r="BC93" s="231">
        <f t="shared" si="33"/>
        <v>0</v>
      </c>
      <c r="BD93" s="231">
        <f t="shared" si="34"/>
        <v>0</v>
      </c>
      <c r="BE93" s="232">
        <f t="shared" si="35"/>
        <v>0</v>
      </c>
      <c r="BF93" s="75">
        <v>39436</v>
      </c>
      <c r="BG93" s="258">
        <f t="shared" si="41"/>
        <v>0</v>
      </c>
      <c r="BH93" s="259">
        <f t="shared" si="42"/>
        <v>0</v>
      </c>
      <c r="BI93" s="259">
        <f t="shared" si="43"/>
        <v>0</v>
      </c>
      <c r="BJ93" s="259">
        <f t="shared" si="44"/>
        <v>0</v>
      </c>
      <c r="BK93" s="259">
        <f t="shared" si="45"/>
        <v>0</v>
      </c>
      <c r="BL93" s="259">
        <f t="shared" si="46"/>
        <v>0</v>
      </c>
      <c r="BM93" s="259">
        <f t="shared" si="47"/>
        <v>0</v>
      </c>
      <c r="BN93" s="259">
        <f t="shared" si="48"/>
        <v>0</v>
      </c>
      <c r="BO93" s="259">
        <f t="shared" si="49"/>
        <v>0</v>
      </c>
      <c r="BP93" s="259">
        <f t="shared" si="50"/>
        <v>0</v>
      </c>
      <c r="BQ93" s="259">
        <f t="shared" si="51"/>
        <v>0</v>
      </c>
      <c r="BR93" s="259">
        <f t="shared" si="52"/>
        <v>0</v>
      </c>
      <c r="BS93" s="259">
        <f t="shared" si="53"/>
        <v>0</v>
      </c>
      <c r="BT93" s="259">
        <f t="shared" si="54"/>
        <v>0</v>
      </c>
      <c r="BU93" s="259">
        <f t="shared" si="55"/>
        <v>0</v>
      </c>
      <c r="BV93" s="259">
        <f t="shared" si="56"/>
        <v>0</v>
      </c>
      <c r="BW93" s="260">
        <f t="shared" si="57"/>
        <v>0</v>
      </c>
    </row>
    <row r="94" spans="1:75">
      <c r="A94" s="75">
        <v>39467</v>
      </c>
      <c r="B94" s="75"/>
      <c r="C94" s="687">
        <f t="shared" si="58"/>
        <v>0</v>
      </c>
      <c r="D94" s="364">
        <f t="shared" si="58"/>
        <v>0</v>
      </c>
      <c r="E94" s="364">
        <f t="shared" si="58"/>
        <v>0</v>
      </c>
      <c r="F94" s="263">
        <f t="shared" ref="F94:S94" si="64">ROUND((F10-F11),2)</f>
        <v>0</v>
      </c>
      <c r="G94" s="263">
        <f t="shared" si="64"/>
        <v>0</v>
      </c>
      <c r="H94" s="263">
        <f t="shared" si="64"/>
        <v>0</v>
      </c>
      <c r="I94" s="263">
        <f t="shared" si="64"/>
        <v>0</v>
      </c>
      <c r="J94" s="263">
        <f t="shared" si="64"/>
        <v>0</v>
      </c>
      <c r="K94" s="263">
        <f t="shared" si="64"/>
        <v>0</v>
      </c>
      <c r="L94" s="263">
        <f t="shared" si="64"/>
        <v>0</v>
      </c>
      <c r="M94" s="263">
        <f t="shared" si="64"/>
        <v>0</v>
      </c>
      <c r="N94" s="263">
        <f t="shared" si="64"/>
        <v>0</v>
      </c>
      <c r="O94" s="263">
        <f t="shared" si="64"/>
        <v>0</v>
      </c>
      <c r="P94" s="263">
        <f t="shared" si="64"/>
        <v>0</v>
      </c>
      <c r="Q94" s="263">
        <f t="shared" si="64"/>
        <v>0</v>
      </c>
      <c r="R94" s="263">
        <f t="shared" si="64"/>
        <v>0</v>
      </c>
      <c r="S94" s="208">
        <f t="shared" si="64"/>
        <v>0</v>
      </c>
      <c r="T94" s="246">
        <f t="shared" si="39"/>
        <v>0</v>
      </c>
      <c r="U94" s="75">
        <v>39467</v>
      </c>
      <c r="V94" s="1262"/>
      <c r="W94" s="1263"/>
      <c r="X94" s="1263"/>
      <c r="Y94" s="231"/>
      <c r="Z94" s="231"/>
      <c r="AA94" s="231"/>
      <c r="AB94" s="231"/>
      <c r="AC94" s="231"/>
      <c r="AD94" s="231"/>
      <c r="AE94" s="231"/>
      <c r="AF94" s="231"/>
      <c r="AG94" s="231"/>
      <c r="AH94" s="231"/>
      <c r="AI94" s="231"/>
      <c r="AJ94" s="231"/>
      <c r="AK94" s="231"/>
      <c r="AL94" s="231"/>
      <c r="AM94" s="232"/>
      <c r="AN94" s="75">
        <v>39467</v>
      </c>
      <c r="AO94" s="233">
        <f t="shared" si="19"/>
        <v>0</v>
      </c>
      <c r="AP94" s="231">
        <f t="shared" si="20"/>
        <v>0</v>
      </c>
      <c r="AQ94" s="231">
        <f t="shared" si="21"/>
        <v>0</v>
      </c>
      <c r="AR94" s="231">
        <f t="shared" si="22"/>
        <v>0</v>
      </c>
      <c r="AS94" s="231">
        <f t="shared" si="23"/>
        <v>0</v>
      </c>
      <c r="AT94" s="231">
        <f t="shared" si="24"/>
        <v>0</v>
      </c>
      <c r="AU94" s="231">
        <f t="shared" si="25"/>
        <v>0</v>
      </c>
      <c r="AV94" s="231">
        <f t="shared" si="26"/>
        <v>0</v>
      </c>
      <c r="AW94" s="231">
        <f t="shared" si="27"/>
        <v>0</v>
      </c>
      <c r="AX94" s="231">
        <f t="shared" si="28"/>
        <v>0</v>
      </c>
      <c r="AY94" s="231">
        <f t="shared" si="29"/>
        <v>0</v>
      </c>
      <c r="AZ94" s="231">
        <f t="shared" si="30"/>
        <v>0</v>
      </c>
      <c r="BA94" s="231">
        <f t="shared" si="31"/>
        <v>0</v>
      </c>
      <c r="BB94" s="231">
        <f t="shared" si="32"/>
        <v>0</v>
      </c>
      <c r="BC94" s="231">
        <f t="shared" si="33"/>
        <v>0</v>
      </c>
      <c r="BD94" s="231">
        <f t="shared" si="34"/>
        <v>0</v>
      </c>
      <c r="BE94" s="232">
        <f t="shared" si="35"/>
        <v>0</v>
      </c>
      <c r="BF94" s="75">
        <v>39467</v>
      </c>
      <c r="BG94" s="258">
        <f t="shared" si="41"/>
        <v>0</v>
      </c>
      <c r="BH94" s="259">
        <f t="shared" si="42"/>
        <v>0</v>
      </c>
      <c r="BI94" s="259">
        <f t="shared" si="43"/>
        <v>0</v>
      </c>
      <c r="BJ94" s="259">
        <f t="shared" si="44"/>
        <v>0</v>
      </c>
      <c r="BK94" s="259">
        <f t="shared" si="45"/>
        <v>0</v>
      </c>
      <c r="BL94" s="259">
        <f t="shared" si="46"/>
        <v>0</v>
      </c>
      <c r="BM94" s="259">
        <f t="shared" si="47"/>
        <v>0</v>
      </c>
      <c r="BN94" s="259">
        <f t="shared" si="48"/>
        <v>0</v>
      </c>
      <c r="BO94" s="259">
        <f t="shared" si="49"/>
        <v>0</v>
      </c>
      <c r="BP94" s="259">
        <f t="shared" si="50"/>
        <v>0</v>
      </c>
      <c r="BQ94" s="259">
        <f t="shared" si="51"/>
        <v>0</v>
      </c>
      <c r="BR94" s="259">
        <f t="shared" si="52"/>
        <v>0</v>
      </c>
      <c r="BS94" s="259">
        <f t="shared" si="53"/>
        <v>0</v>
      </c>
      <c r="BT94" s="259">
        <f t="shared" si="54"/>
        <v>0</v>
      </c>
      <c r="BU94" s="259">
        <f t="shared" si="55"/>
        <v>0</v>
      </c>
      <c r="BV94" s="259">
        <f t="shared" si="56"/>
        <v>0</v>
      </c>
      <c r="BW94" s="260">
        <f t="shared" si="57"/>
        <v>0</v>
      </c>
    </row>
    <row r="95" spans="1:75">
      <c r="A95" s="75">
        <v>39498</v>
      </c>
      <c r="B95" s="75"/>
      <c r="C95" s="687">
        <f t="shared" si="58"/>
        <v>419001766.86000001</v>
      </c>
      <c r="D95" s="364">
        <f t="shared" si="58"/>
        <v>90683953.829999998</v>
      </c>
      <c r="E95" s="364">
        <f t="shared" si="58"/>
        <v>29789030.379999999</v>
      </c>
      <c r="F95" s="263">
        <f t="shared" ref="F95:S95" si="65">ROUND((F11-F12),2)</f>
        <v>0</v>
      </c>
      <c r="G95" s="263">
        <f t="shared" si="65"/>
        <v>0</v>
      </c>
      <c r="H95" s="263">
        <f t="shared" si="65"/>
        <v>0</v>
      </c>
      <c r="I95" s="263">
        <f t="shared" si="65"/>
        <v>0</v>
      </c>
      <c r="J95" s="263">
        <f t="shared" si="65"/>
        <v>0</v>
      </c>
      <c r="K95" s="263">
        <f t="shared" si="65"/>
        <v>0</v>
      </c>
      <c r="L95" s="263">
        <f t="shared" si="65"/>
        <v>0</v>
      </c>
      <c r="M95" s="263">
        <f t="shared" si="65"/>
        <v>0</v>
      </c>
      <c r="N95" s="263">
        <f t="shared" si="65"/>
        <v>0</v>
      </c>
      <c r="O95" s="263">
        <f t="shared" si="65"/>
        <v>0</v>
      </c>
      <c r="P95" s="263">
        <f t="shared" si="65"/>
        <v>0</v>
      </c>
      <c r="Q95" s="263">
        <f t="shared" si="65"/>
        <v>0</v>
      </c>
      <c r="R95" s="263">
        <f t="shared" si="65"/>
        <v>0</v>
      </c>
      <c r="S95" s="208">
        <f t="shared" si="65"/>
        <v>0</v>
      </c>
      <c r="T95" s="246">
        <f t="shared" si="39"/>
        <v>539474751.07000005</v>
      </c>
      <c r="U95" s="75">
        <v>39498</v>
      </c>
      <c r="V95" s="1264">
        <v>419001766.86000001</v>
      </c>
      <c r="W95" s="1265">
        <v>90683953.829999998</v>
      </c>
      <c r="X95" s="1265">
        <v>29789030.379999999</v>
      </c>
      <c r="Y95" s="231"/>
      <c r="Z95" s="231"/>
      <c r="AA95" s="231"/>
      <c r="AB95" s="231"/>
      <c r="AC95" s="231"/>
      <c r="AD95" s="231"/>
      <c r="AE95" s="231"/>
      <c r="AF95" s="231"/>
      <c r="AG95" s="231"/>
      <c r="AH95" s="231"/>
      <c r="AI95" s="231"/>
      <c r="AJ95" s="231"/>
      <c r="AK95" s="231"/>
      <c r="AL95" s="231"/>
      <c r="AM95" s="232"/>
      <c r="AN95" s="75">
        <v>39498</v>
      </c>
      <c r="AO95" s="206">
        <f>C95-V95</f>
        <v>0</v>
      </c>
      <c r="AP95" s="208">
        <f>D95-W95</f>
        <v>0</v>
      </c>
      <c r="AQ95" s="208">
        <f>E95-X95</f>
        <v>0</v>
      </c>
      <c r="AR95" s="231">
        <f t="shared" si="22"/>
        <v>0</v>
      </c>
      <c r="AS95" s="231">
        <f t="shared" si="23"/>
        <v>0</v>
      </c>
      <c r="AT95" s="231">
        <f t="shared" si="24"/>
        <v>0</v>
      </c>
      <c r="AU95" s="231">
        <f t="shared" si="25"/>
        <v>0</v>
      </c>
      <c r="AV95" s="231">
        <f t="shared" si="26"/>
        <v>0</v>
      </c>
      <c r="AW95" s="231">
        <f t="shared" si="27"/>
        <v>0</v>
      </c>
      <c r="AX95" s="231">
        <f t="shared" si="28"/>
        <v>0</v>
      </c>
      <c r="AY95" s="231">
        <f t="shared" si="29"/>
        <v>0</v>
      </c>
      <c r="AZ95" s="231">
        <f t="shared" si="30"/>
        <v>0</v>
      </c>
      <c r="BA95" s="231">
        <f t="shared" si="31"/>
        <v>0</v>
      </c>
      <c r="BB95" s="231">
        <f t="shared" si="32"/>
        <v>0</v>
      </c>
      <c r="BC95" s="231">
        <f t="shared" si="33"/>
        <v>0</v>
      </c>
      <c r="BD95" s="231">
        <f t="shared" si="34"/>
        <v>0</v>
      </c>
      <c r="BE95" s="232">
        <f t="shared" si="35"/>
        <v>0</v>
      </c>
      <c r="BF95" s="75">
        <v>39498</v>
      </c>
      <c r="BG95" s="258">
        <f t="shared" si="41"/>
        <v>0</v>
      </c>
      <c r="BH95" s="259">
        <f t="shared" si="42"/>
        <v>0</v>
      </c>
      <c r="BI95" s="259">
        <f t="shared" si="43"/>
        <v>0</v>
      </c>
      <c r="BJ95" s="259">
        <f t="shared" si="44"/>
        <v>0</v>
      </c>
      <c r="BK95" s="259">
        <f t="shared" si="45"/>
        <v>0</v>
      </c>
      <c r="BL95" s="259">
        <f t="shared" si="46"/>
        <v>0</v>
      </c>
      <c r="BM95" s="259">
        <f t="shared" si="47"/>
        <v>0</v>
      </c>
      <c r="BN95" s="259">
        <f t="shared" si="48"/>
        <v>0</v>
      </c>
      <c r="BO95" s="259">
        <f t="shared" si="49"/>
        <v>0</v>
      </c>
      <c r="BP95" s="259">
        <f t="shared" si="50"/>
        <v>0</v>
      </c>
      <c r="BQ95" s="259">
        <f t="shared" si="51"/>
        <v>0</v>
      </c>
      <c r="BR95" s="259">
        <f t="shared" si="52"/>
        <v>0</v>
      </c>
      <c r="BS95" s="259">
        <f t="shared" si="53"/>
        <v>0</v>
      </c>
      <c r="BT95" s="259">
        <f t="shared" si="54"/>
        <v>0</v>
      </c>
      <c r="BU95" s="259">
        <f t="shared" si="55"/>
        <v>0</v>
      </c>
      <c r="BV95" s="259">
        <f t="shared" si="56"/>
        <v>0</v>
      </c>
      <c r="BW95" s="260">
        <f t="shared" si="57"/>
        <v>0</v>
      </c>
    </row>
    <row r="96" spans="1:75">
      <c r="A96" s="75">
        <v>39527</v>
      </c>
      <c r="B96" s="75"/>
      <c r="C96" s="687">
        <f t="shared" si="58"/>
        <v>0</v>
      </c>
      <c r="D96" s="364">
        <f t="shared" si="58"/>
        <v>0</v>
      </c>
      <c r="E96" s="364">
        <f t="shared" si="58"/>
        <v>0</v>
      </c>
      <c r="F96" s="263">
        <f t="shared" ref="F96:S96" si="66">ROUND((F12-F13),2)</f>
        <v>0</v>
      </c>
      <c r="G96" s="263">
        <f t="shared" si="66"/>
        <v>0</v>
      </c>
      <c r="H96" s="263">
        <f t="shared" si="66"/>
        <v>0</v>
      </c>
      <c r="I96" s="263">
        <f t="shared" si="66"/>
        <v>0</v>
      </c>
      <c r="J96" s="263">
        <f t="shared" si="66"/>
        <v>0</v>
      </c>
      <c r="K96" s="263">
        <f t="shared" si="66"/>
        <v>0</v>
      </c>
      <c r="L96" s="263">
        <f t="shared" si="66"/>
        <v>0</v>
      </c>
      <c r="M96" s="263">
        <f t="shared" si="66"/>
        <v>0</v>
      </c>
      <c r="N96" s="263">
        <f t="shared" si="66"/>
        <v>0</v>
      </c>
      <c r="O96" s="263">
        <f t="shared" si="66"/>
        <v>0</v>
      </c>
      <c r="P96" s="263">
        <f t="shared" si="66"/>
        <v>0</v>
      </c>
      <c r="Q96" s="263">
        <f t="shared" si="66"/>
        <v>0</v>
      </c>
      <c r="R96" s="263">
        <f t="shared" si="66"/>
        <v>0</v>
      </c>
      <c r="S96" s="208">
        <f t="shared" si="66"/>
        <v>0</v>
      </c>
      <c r="T96" s="246">
        <f t="shared" si="39"/>
        <v>0</v>
      </c>
      <c r="U96" s="75">
        <v>39527</v>
      </c>
      <c r="V96" s="257"/>
      <c r="W96" s="231"/>
      <c r="X96" s="231"/>
      <c r="Y96" s="231"/>
      <c r="Z96" s="231"/>
      <c r="AA96" s="231"/>
      <c r="AB96" s="231"/>
      <c r="AC96" s="231"/>
      <c r="AD96" s="231"/>
      <c r="AE96" s="231"/>
      <c r="AF96" s="231"/>
      <c r="AG96" s="231"/>
      <c r="AH96" s="231"/>
      <c r="AI96" s="231"/>
      <c r="AJ96" s="231"/>
      <c r="AK96" s="231"/>
      <c r="AL96" s="231"/>
      <c r="AM96" s="232"/>
      <c r="AN96" s="75">
        <v>39527</v>
      </c>
      <c r="AO96" s="233">
        <f t="shared" si="19"/>
        <v>0</v>
      </c>
      <c r="AP96" s="231">
        <f t="shared" si="20"/>
        <v>0</v>
      </c>
      <c r="AQ96" s="231">
        <f t="shared" si="21"/>
        <v>0</v>
      </c>
      <c r="AR96" s="231">
        <f t="shared" si="22"/>
        <v>0</v>
      </c>
      <c r="AS96" s="231">
        <f t="shared" si="23"/>
        <v>0</v>
      </c>
      <c r="AT96" s="231">
        <f t="shared" si="24"/>
        <v>0</v>
      </c>
      <c r="AU96" s="231">
        <f t="shared" si="25"/>
        <v>0</v>
      </c>
      <c r="AV96" s="231">
        <f t="shared" si="26"/>
        <v>0</v>
      </c>
      <c r="AW96" s="231">
        <f t="shared" si="27"/>
        <v>0</v>
      </c>
      <c r="AX96" s="231">
        <f t="shared" si="28"/>
        <v>0</v>
      </c>
      <c r="AY96" s="231">
        <f t="shared" si="29"/>
        <v>0</v>
      </c>
      <c r="AZ96" s="231">
        <f t="shared" si="30"/>
        <v>0</v>
      </c>
      <c r="BA96" s="231">
        <f t="shared" si="31"/>
        <v>0</v>
      </c>
      <c r="BB96" s="231">
        <f t="shared" si="32"/>
        <v>0</v>
      </c>
      <c r="BC96" s="231">
        <f t="shared" si="33"/>
        <v>0</v>
      </c>
      <c r="BD96" s="231">
        <f t="shared" si="34"/>
        <v>0</v>
      </c>
      <c r="BE96" s="232">
        <f t="shared" si="35"/>
        <v>0</v>
      </c>
      <c r="BF96" s="75">
        <v>39527</v>
      </c>
      <c r="BG96" s="258">
        <f t="shared" si="41"/>
        <v>0</v>
      </c>
      <c r="BH96" s="259">
        <f t="shared" si="42"/>
        <v>0</v>
      </c>
      <c r="BI96" s="259">
        <f t="shared" si="43"/>
        <v>0</v>
      </c>
      <c r="BJ96" s="259">
        <f t="shared" si="44"/>
        <v>0</v>
      </c>
      <c r="BK96" s="259">
        <f t="shared" si="45"/>
        <v>0</v>
      </c>
      <c r="BL96" s="259">
        <f t="shared" si="46"/>
        <v>0</v>
      </c>
      <c r="BM96" s="259">
        <f t="shared" si="47"/>
        <v>0</v>
      </c>
      <c r="BN96" s="259">
        <f t="shared" si="48"/>
        <v>0</v>
      </c>
      <c r="BO96" s="259">
        <f t="shared" si="49"/>
        <v>0</v>
      </c>
      <c r="BP96" s="259">
        <f t="shared" si="50"/>
        <v>0</v>
      </c>
      <c r="BQ96" s="259">
        <f t="shared" si="51"/>
        <v>0</v>
      </c>
      <c r="BR96" s="259">
        <f t="shared" si="52"/>
        <v>0</v>
      </c>
      <c r="BS96" s="259">
        <f t="shared" si="53"/>
        <v>0</v>
      </c>
      <c r="BT96" s="259">
        <f t="shared" si="54"/>
        <v>0</v>
      </c>
      <c r="BU96" s="259">
        <f t="shared" si="55"/>
        <v>0</v>
      </c>
      <c r="BV96" s="259">
        <f t="shared" si="56"/>
        <v>0</v>
      </c>
      <c r="BW96" s="260">
        <f t="shared" si="57"/>
        <v>0</v>
      </c>
    </row>
    <row r="97" spans="1:75">
      <c r="A97" s="75">
        <v>39558</v>
      </c>
      <c r="B97" s="75"/>
      <c r="C97" s="687">
        <f t="shared" si="58"/>
        <v>0</v>
      </c>
      <c r="D97" s="364">
        <f t="shared" si="58"/>
        <v>0</v>
      </c>
      <c r="E97" s="364">
        <f t="shared" si="58"/>
        <v>0</v>
      </c>
      <c r="F97" s="263">
        <f t="shared" ref="F97:S97" si="67">ROUND((F13-F14),2)</f>
        <v>0</v>
      </c>
      <c r="G97" s="263">
        <f t="shared" si="67"/>
        <v>0</v>
      </c>
      <c r="H97" s="263">
        <f t="shared" si="67"/>
        <v>0</v>
      </c>
      <c r="I97" s="263">
        <f t="shared" si="67"/>
        <v>0</v>
      </c>
      <c r="J97" s="263">
        <f t="shared" si="67"/>
        <v>0</v>
      </c>
      <c r="K97" s="263">
        <f t="shared" si="67"/>
        <v>0</v>
      </c>
      <c r="L97" s="263">
        <f t="shared" si="67"/>
        <v>0</v>
      </c>
      <c r="M97" s="263">
        <f t="shared" si="67"/>
        <v>0</v>
      </c>
      <c r="N97" s="263">
        <f t="shared" si="67"/>
        <v>0</v>
      </c>
      <c r="O97" s="263">
        <f t="shared" si="67"/>
        <v>0</v>
      </c>
      <c r="P97" s="263">
        <f t="shared" si="67"/>
        <v>0</v>
      </c>
      <c r="Q97" s="263">
        <f t="shared" si="67"/>
        <v>0</v>
      </c>
      <c r="R97" s="263">
        <f t="shared" si="67"/>
        <v>0</v>
      </c>
      <c r="S97" s="208">
        <f t="shared" si="67"/>
        <v>0</v>
      </c>
      <c r="T97" s="246">
        <f t="shared" si="39"/>
        <v>0</v>
      </c>
      <c r="U97" s="75">
        <v>39558</v>
      </c>
      <c r="V97" s="257"/>
      <c r="W97" s="231"/>
      <c r="X97" s="231"/>
      <c r="Y97" s="231"/>
      <c r="Z97" s="231"/>
      <c r="AA97" s="231"/>
      <c r="AB97" s="231"/>
      <c r="AC97" s="231"/>
      <c r="AD97" s="231"/>
      <c r="AE97" s="231"/>
      <c r="AF97" s="231"/>
      <c r="AG97" s="231"/>
      <c r="AH97" s="231"/>
      <c r="AI97" s="231"/>
      <c r="AJ97" s="231"/>
      <c r="AK97" s="231"/>
      <c r="AL97" s="231"/>
      <c r="AM97" s="232"/>
      <c r="AN97" s="75">
        <v>39558</v>
      </c>
      <c r="AO97" s="233">
        <f t="shared" si="19"/>
        <v>0</v>
      </c>
      <c r="AP97" s="231">
        <f t="shared" si="20"/>
        <v>0</v>
      </c>
      <c r="AQ97" s="231">
        <f t="shared" si="21"/>
        <v>0</v>
      </c>
      <c r="AR97" s="231">
        <f t="shared" si="22"/>
        <v>0</v>
      </c>
      <c r="AS97" s="231">
        <f t="shared" si="23"/>
        <v>0</v>
      </c>
      <c r="AT97" s="231">
        <f t="shared" si="24"/>
        <v>0</v>
      </c>
      <c r="AU97" s="231">
        <f t="shared" si="25"/>
        <v>0</v>
      </c>
      <c r="AV97" s="231">
        <f t="shared" si="26"/>
        <v>0</v>
      </c>
      <c r="AW97" s="231">
        <f t="shared" si="27"/>
        <v>0</v>
      </c>
      <c r="AX97" s="231">
        <f t="shared" si="28"/>
        <v>0</v>
      </c>
      <c r="AY97" s="231">
        <f t="shared" si="29"/>
        <v>0</v>
      </c>
      <c r="AZ97" s="231">
        <f t="shared" si="30"/>
        <v>0</v>
      </c>
      <c r="BA97" s="231">
        <f t="shared" si="31"/>
        <v>0</v>
      </c>
      <c r="BB97" s="231">
        <f t="shared" si="32"/>
        <v>0</v>
      </c>
      <c r="BC97" s="231">
        <f t="shared" si="33"/>
        <v>0</v>
      </c>
      <c r="BD97" s="231">
        <f t="shared" si="34"/>
        <v>0</v>
      </c>
      <c r="BE97" s="232">
        <f t="shared" si="35"/>
        <v>0</v>
      </c>
      <c r="BF97" s="75">
        <v>39558</v>
      </c>
      <c r="BG97" s="258">
        <f t="shared" si="41"/>
        <v>0</v>
      </c>
      <c r="BH97" s="259">
        <f t="shared" si="42"/>
        <v>0</v>
      </c>
      <c r="BI97" s="259">
        <f t="shared" si="43"/>
        <v>0</v>
      </c>
      <c r="BJ97" s="259">
        <f t="shared" si="44"/>
        <v>0</v>
      </c>
      <c r="BK97" s="259">
        <f t="shared" si="45"/>
        <v>0</v>
      </c>
      <c r="BL97" s="259">
        <f t="shared" si="46"/>
        <v>0</v>
      </c>
      <c r="BM97" s="259">
        <f t="shared" si="47"/>
        <v>0</v>
      </c>
      <c r="BN97" s="259">
        <f t="shared" si="48"/>
        <v>0</v>
      </c>
      <c r="BO97" s="259">
        <f t="shared" si="49"/>
        <v>0</v>
      </c>
      <c r="BP97" s="259">
        <f t="shared" si="50"/>
        <v>0</v>
      </c>
      <c r="BQ97" s="259">
        <f t="shared" si="51"/>
        <v>0</v>
      </c>
      <c r="BR97" s="259">
        <f t="shared" si="52"/>
        <v>0</v>
      </c>
      <c r="BS97" s="259">
        <f t="shared" si="53"/>
        <v>0</v>
      </c>
      <c r="BT97" s="259">
        <f t="shared" si="54"/>
        <v>0</v>
      </c>
      <c r="BU97" s="259">
        <f t="shared" si="55"/>
        <v>0</v>
      </c>
      <c r="BV97" s="259">
        <f t="shared" si="56"/>
        <v>0</v>
      </c>
      <c r="BW97" s="260">
        <f t="shared" si="57"/>
        <v>0</v>
      </c>
    </row>
    <row r="98" spans="1:75">
      <c r="A98" s="75">
        <v>39588</v>
      </c>
      <c r="B98" s="75"/>
      <c r="C98" s="687">
        <f t="shared" si="58"/>
        <v>396267405.17000002</v>
      </c>
      <c r="D98" s="364">
        <f t="shared" si="58"/>
        <v>85763588.400000006</v>
      </c>
      <c r="E98" s="364">
        <f t="shared" si="58"/>
        <v>28172725.52</v>
      </c>
      <c r="F98" s="263">
        <f t="shared" ref="F98:S98" si="68">ROUND((F14-F15),2)</f>
        <v>0</v>
      </c>
      <c r="G98" s="263">
        <f t="shared" si="68"/>
        <v>0</v>
      </c>
      <c r="H98" s="263">
        <f t="shared" si="68"/>
        <v>0</v>
      </c>
      <c r="I98" s="263">
        <f t="shared" si="68"/>
        <v>0</v>
      </c>
      <c r="J98" s="263">
        <f t="shared" si="68"/>
        <v>0</v>
      </c>
      <c r="K98" s="263">
        <f t="shared" si="68"/>
        <v>0</v>
      </c>
      <c r="L98" s="263">
        <f t="shared" si="68"/>
        <v>0</v>
      </c>
      <c r="M98" s="263">
        <f t="shared" si="68"/>
        <v>0</v>
      </c>
      <c r="N98" s="263">
        <f t="shared" si="68"/>
        <v>0</v>
      </c>
      <c r="O98" s="263">
        <f t="shared" si="68"/>
        <v>0</v>
      </c>
      <c r="P98" s="263">
        <f t="shared" si="68"/>
        <v>0</v>
      </c>
      <c r="Q98" s="263">
        <f t="shared" si="68"/>
        <v>0</v>
      </c>
      <c r="R98" s="263">
        <f t="shared" si="68"/>
        <v>0</v>
      </c>
      <c r="S98" s="208">
        <f t="shared" si="68"/>
        <v>0</v>
      </c>
      <c r="T98" s="246">
        <f t="shared" si="39"/>
        <v>510203719.09000003</v>
      </c>
      <c r="U98" s="75">
        <v>39588</v>
      </c>
      <c r="V98" s="258">
        <v>396267405.17000002</v>
      </c>
      <c r="W98" s="259">
        <v>85763588.400000006</v>
      </c>
      <c r="X98" s="259">
        <v>28172725.52</v>
      </c>
      <c r="Y98" s="231"/>
      <c r="Z98" s="231"/>
      <c r="AA98" s="231"/>
      <c r="AB98" s="231"/>
      <c r="AC98" s="231"/>
      <c r="AD98" s="231"/>
      <c r="AE98" s="231"/>
      <c r="AF98" s="231"/>
      <c r="AG98" s="231"/>
      <c r="AH98" s="231"/>
      <c r="AI98" s="231"/>
      <c r="AJ98" s="231"/>
      <c r="AK98" s="231"/>
      <c r="AL98" s="231"/>
      <c r="AM98" s="232"/>
      <c r="AN98" s="75">
        <v>39588</v>
      </c>
      <c r="AO98" s="258">
        <f>C98-V98</f>
        <v>0</v>
      </c>
      <c r="AP98" s="259">
        <f>D98-W98</f>
        <v>0</v>
      </c>
      <c r="AQ98" s="259">
        <f>E98-X98</f>
        <v>0</v>
      </c>
      <c r="AR98" s="231">
        <f t="shared" si="22"/>
        <v>0</v>
      </c>
      <c r="AS98" s="231">
        <f t="shared" si="23"/>
        <v>0</v>
      </c>
      <c r="AT98" s="231">
        <f t="shared" si="24"/>
        <v>0</v>
      </c>
      <c r="AU98" s="231">
        <f t="shared" si="25"/>
        <v>0</v>
      </c>
      <c r="AV98" s="231">
        <f t="shared" si="26"/>
        <v>0</v>
      </c>
      <c r="AW98" s="231">
        <f t="shared" si="27"/>
        <v>0</v>
      </c>
      <c r="AX98" s="231">
        <f t="shared" si="28"/>
        <v>0</v>
      </c>
      <c r="AY98" s="231">
        <f t="shared" si="29"/>
        <v>0</v>
      </c>
      <c r="AZ98" s="231">
        <f t="shared" si="30"/>
        <v>0</v>
      </c>
      <c r="BA98" s="231">
        <f t="shared" si="31"/>
        <v>0</v>
      </c>
      <c r="BB98" s="231">
        <f t="shared" si="32"/>
        <v>0</v>
      </c>
      <c r="BC98" s="231">
        <f t="shared" si="33"/>
        <v>0</v>
      </c>
      <c r="BD98" s="231">
        <f t="shared" si="34"/>
        <v>0</v>
      </c>
      <c r="BE98" s="232">
        <f t="shared" si="35"/>
        <v>0</v>
      </c>
      <c r="BF98" s="75">
        <v>39588</v>
      </c>
      <c r="BG98" s="258">
        <f t="shared" si="41"/>
        <v>0</v>
      </c>
      <c r="BH98" s="259">
        <f t="shared" si="42"/>
        <v>0</v>
      </c>
      <c r="BI98" s="259">
        <f t="shared" si="43"/>
        <v>0</v>
      </c>
      <c r="BJ98" s="259">
        <f t="shared" si="44"/>
        <v>0</v>
      </c>
      <c r="BK98" s="259">
        <f t="shared" si="45"/>
        <v>0</v>
      </c>
      <c r="BL98" s="259">
        <f t="shared" si="46"/>
        <v>0</v>
      </c>
      <c r="BM98" s="259">
        <f t="shared" si="47"/>
        <v>0</v>
      </c>
      <c r="BN98" s="259">
        <f t="shared" si="48"/>
        <v>0</v>
      </c>
      <c r="BO98" s="259">
        <f t="shared" si="49"/>
        <v>0</v>
      </c>
      <c r="BP98" s="259">
        <f t="shared" si="50"/>
        <v>0</v>
      </c>
      <c r="BQ98" s="259">
        <f t="shared" si="51"/>
        <v>0</v>
      </c>
      <c r="BR98" s="259">
        <f t="shared" si="52"/>
        <v>0</v>
      </c>
      <c r="BS98" s="259">
        <f t="shared" si="53"/>
        <v>0</v>
      </c>
      <c r="BT98" s="259">
        <f t="shared" si="54"/>
        <v>0</v>
      </c>
      <c r="BU98" s="259">
        <f t="shared" si="55"/>
        <v>0</v>
      </c>
      <c r="BV98" s="259">
        <f t="shared" si="56"/>
        <v>0</v>
      </c>
      <c r="BW98" s="260">
        <f t="shared" si="57"/>
        <v>0</v>
      </c>
    </row>
    <row r="99" spans="1:75">
      <c r="A99" s="75">
        <v>39619</v>
      </c>
      <c r="B99" s="75"/>
      <c r="C99" s="687">
        <f t="shared" si="58"/>
        <v>0</v>
      </c>
      <c r="D99" s="364">
        <f t="shared" si="58"/>
        <v>0</v>
      </c>
      <c r="E99" s="364">
        <f t="shared" si="58"/>
        <v>0</v>
      </c>
      <c r="F99" s="263">
        <f t="shared" ref="F99:S99" si="69">ROUND((F15-F16),2)</f>
        <v>0</v>
      </c>
      <c r="G99" s="263">
        <f t="shared" si="69"/>
        <v>0</v>
      </c>
      <c r="H99" s="263">
        <f t="shared" si="69"/>
        <v>0</v>
      </c>
      <c r="I99" s="263">
        <f t="shared" si="69"/>
        <v>0</v>
      </c>
      <c r="J99" s="263">
        <f t="shared" si="69"/>
        <v>0</v>
      </c>
      <c r="K99" s="263">
        <f t="shared" si="69"/>
        <v>0</v>
      </c>
      <c r="L99" s="263">
        <f t="shared" si="69"/>
        <v>0</v>
      </c>
      <c r="M99" s="263">
        <f t="shared" si="69"/>
        <v>0</v>
      </c>
      <c r="N99" s="263">
        <f t="shared" si="69"/>
        <v>0</v>
      </c>
      <c r="O99" s="263">
        <f t="shared" si="69"/>
        <v>0</v>
      </c>
      <c r="P99" s="263">
        <f t="shared" si="69"/>
        <v>0</v>
      </c>
      <c r="Q99" s="263">
        <f t="shared" si="69"/>
        <v>0</v>
      </c>
      <c r="R99" s="263">
        <f t="shared" si="69"/>
        <v>0</v>
      </c>
      <c r="S99" s="208">
        <f t="shared" si="69"/>
        <v>0</v>
      </c>
      <c r="T99" s="246">
        <f t="shared" si="39"/>
        <v>0</v>
      </c>
      <c r="U99" s="75">
        <v>39619</v>
      </c>
      <c r="V99" s="257"/>
      <c r="W99" s="231"/>
      <c r="X99" s="231"/>
      <c r="Y99" s="231"/>
      <c r="Z99" s="231"/>
      <c r="AA99" s="231"/>
      <c r="AB99" s="231"/>
      <c r="AC99" s="231"/>
      <c r="AD99" s="231"/>
      <c r="AE99" s="231"/>
      <c r="AF99" s="231"/>
      <c r="AG99" s="231"/>
      <c r="AH99" s="231"/>
      <c r="AI99" s="231"/>
      <c r="AJ99" s="231"/>
      <c r="AK99" s="231"/>
      <c r="AL99" s="231"/>
      <c r="AM99" s="232"/>
      <c r="AN99" s="75">
        <v>39619</v>
      </c>
      <c r="AO99" s="233">
        <f t="shared" si="19"/>
        <v>0</v>
      </c>
      <c r="AP99" s="231">
        <f t="shared" si="20"/>
        <v>0</v>
      </c>
      <c r="AQ99" s="231">
        <f t="shared" si="21"/>
        <v>0</v>
      </c>
      <c r="AR99" s="231">
        <f t="shared" si="22"/>
        <v>0</v>
      </c>
      <c r="AS99" s="231">
        <f t="shared" si="23"/>
        <v>0</v>
      </c>
      <c r="AT99" s="231">
        <f t="shared" si="24"/>
        <v>0</v>
      </c>
      <c r="AU99" s="231">
        <f t="shared" si="25"/>
        <v>0</v>
      </c>
      <c r="AV99" s="231">
        <f t="shared" si="26"/>
        <v>0</v>
      </c>
      <c r="AW99" s="231">
        <f t="shared" si="27"/>
        <v>0</v>
      </c>
      <c r="AX99" s="231">
        <f t="shared" si="28"/>
        <v>0</v>
      </c>
      <c r="AY99" s="231">
        <f t="shared" si="29"/>
        <v>0</v>
      </c>
      <c r="AZ99" s="231">
        <f t="shared" si="30"/>
        <v>0</v>
      </c>
      <c r="BA99" s="231">
        <f t="shared" si="31"/>
        <v>0</v>
      </c>
      <c r="BB99" s="231">
        <f t="shared" si="32"/>
        <v>0</v>
      </c>
      <c r="BC99" s="231">
        <f t="shared" si="33"/>
        <v>0</v>
      </c>
      <c r="BD99" s="231">
        <f t="shared" si="34"/>
        <v>0</v>
      </c>
      <c r="BE99" s="232">
        <f t="shared" si="35"/>
        <v>0</v>
      </c>
      <c r="BF99" s="75">
        <v>39619</v>
      </c>
      <c r="BG99" s="258">
        <f t="shared" si="41"/>
        <v>0</v>
      </c>
      <c r="BH99" s="259">
        <f t="shared" si="42"/>
        <v>0</v>
      </c>
      <c r="BI99" s="259">
        <f t="shared" si="43"/>
        <v>0</v>
      </c>
      <c r="BJ99" s="259">
        <f t="shared" si="44"/>
        <v>0</v>
      </c>
      <c r="BK99" s="259">
        <f t="shared" si="45"/>
        <v>0</v>
      </c>
      <c r="BL99" s="259">
        <f t="shared" si="46"/>
        <v>0</v>
      </c>
      <c r="BM99" s="259">
        <f t="shared" si="47"/>
        <v>0</v>
      </c>
      <c r="BN99" s="259">
        <f t="shared" si="48"/>
        <v>0</v>
      </c>
      <c r="BO99" s="259">
        <f t="shared" si="49"/>
        <v>0</v>
      </c>
      <c r="BP99" s="259">
        <f t="shared" si="50"/>
        <v>0</v>
      </c>
      <c r="BQ99" s="259">
        <f t="shared" si="51"/>
        <v>0</v>
      </c>
      <c r="BR99" s="259">
        <f t="shared" si="52"/>
        <v>0</v>
      </c>
      <c r="BS99" s="259">
        <f t="shared" si="53"/>
        <v>0</v>
      </c>
      <c r="BT99" s="259">
        <f t="shared" si="54"/>
        <v>0</v>
      </c>
      <c r="BU99" s="259">
        <f t="shared" si="55"/>
        <v>0</v>
      </c>
      <c r="BV99" s="259">
        <f t="shared" si="56"/>
        <v>0</v>
      </c>
      <c r="BW99" s="260">
        <f t="shared" si="57"/>
        <v>0</v>
      </c>
    </row>
    <row r="100" spans="1:75">
      <c r="A100" s="75">
        <v>39649</v>
      </c>
      <c r="B100" s="75"/>
      <c r="C100" s="687">
        <f t="shared" si="58"/>
        <v>0</v>
      </c>
      <c r="D100" s="364">
        <f t="shared" si="58"/>
        <v>0</v>
      </c>
      <c r="E100" s="364">
        <f t="shared" si="58"/>
        <v>0</v>
      </c>
      <c r="F100" s="263">
        <f t="shared" ref="F100:S100" si="70">ROUND((F16-F17),2)</f>
        <v>0</v>
      </c>
      <c r="G100" s="263">
        <f t="shared" si="70"/>
        <v>0</v>
      </c>
      <c r="H100" s="263">
        <f t="shared" si="70"/>
        <v>0</v>
      </c>
      <c r="I100" s="263">
        <f t="shared" si="70"/>
        <v>0</v>
      </c>
      <c r="J100" s="263">
        <f t="shared" si="70"/>
        <v>0</v>
      </c>
      <c r="K100" s="263">
        <f t="shared" si="70"/>
        <v>0</v>
      </c>
      <c r="L100" s="263">
        <f t="shared" si="70"/>
        <v>0</v>
      </c>
      <c r="M100" s="263">
        <f t="shared" si="70"/>
        <v>0</v>
      </c>
      <c r="N100" s="263">
        <f t="shared" si="70"/>
        <v>0</v>
      </c>
      <c r="O100" s="263">
        <f t="shared" si="70"/>
        <v>0</v>
      </c>
      <c r="P100" s="263">
        <f t="shared" si="70"/>
        <v>0</v>
      </c>
      <c r="Q100" s="263">
        <f t="shared" si="70"/>
        <v>0</v>
      </c>
      <c r="R100" s="263">
        <f t="shared" si="70"/>
        <v>0</v>
      </c>
      <c r="S100" s="208">
        <f t="shared" si="70"/>
        <v>0</v>
      </c>
      <c r="T100" s="246">
        <f t="shared" si="39"/>
        <v>0</v>
      </c>
      <c r="U100" s="75">
        <v>39649</v>
      </c>
      <c r="V100" s="257"/>
      <c r="W100" s="231"/>
      <c r="X100" s="231"/>
      <c r="Y100" s="231"/>
      <c r="Z100" s="231"/>
      <c r="AA100" s="231"/>
      <c r="AB100" s="231"/>
      <c r="AC100" s="231"/>
      <c r="AD100" s="231"/>
      <c r="AE100" s="231"/>
      <c r="AF100" s="231"/>
      <c r="AG100" s="231"/>
      <c r="AH100" s="231"/>
      <c r="AI100" s="231"/>
      <c r="AJ100" s="231"/>
      <c r="AK100" s="231"/>
      <c r="AL100" s="231"/>
      <c r="AM100" s="232"/>
      <c r="AN100" s="75">
        <v>39649</v>
      </c>
      <c r="AO100" s="233">
        <f t="shared" si="19"/>
        <v>0</v>
      </c>
      <c r="AP100" s="231">
        <f t="shared" si="20"/>
        <v>0</v>
      </c>
      <c r="AQ100" s="231">
        <f t="shared" si="21"/>
        <v>0</v>
      </c>
      <c r="AR100" s="231">
        <f t="shared" si="22"/>
        <v>0</v>
      </c>
      <c r="AS100" s="231">
        <f t="shared" si="23"/>
        <v>0</v>
      </c>
      <c r="AT100" s="231">
        <f t="shared" si="24"/>
        <v>0</v>
      </c>
      <c r="AU100" s="231">
        <f t="shared" si="25"/>
        <v>0</v>
      </c>
      <c r="AV100" s="231">
        <f t="shared" si="26"/>
        <v>0</v>
      </c>
      <c r="AW100" s="231">
        <f t="shared" si="27"/>
        <v>0</v>
      </c>
      <c r="AX100" s="231">
        <f t="shared" si="28"/>
        <v>0</v>
      </c>
      <c r="AY100" s="231">
        <f t="shared" si="29"/>
        <v>0</v>
      </c>
      <c r="AZ100" s="231">
        <f t="shared" si="30"/>
        <v>0</v>
      </c>
      <c r="BA100" s="231">
        <f t="shared" si="31"/>
        <v>0</v>
      </c>
      <c r="BB100" s="231">
        <f t="shared" si="32"/>
        <v>0</v>
      </c>
      <c r="BC100" s="231">
        <f t="shared" si="33"/>
        <v>0</v>
      </c>
      <c r="BD100" s="231">
        <f t="shared" si="34"/>
        <v>0</v>
      </c>
      <c r="BE100" s="232">
        <f t="shared" si="35"/>
        <v>0</v>
      </c>
      <c r="BF100" s="75">
        <v>39649</v>
      </c>
      <c r="BG100" s="258">
        <f t="shared" si="41"/>
        <v>0</v>
      </c>
      <c r="BH100" s="259">
        <f t="shared" si="42"/>
        <v>0</v>
      </c>
      <c r="BI100" s="259">
        <f t="shared" si="43"/>
        <v>0</v>
      </c>
      <c r="BJ100" s="259">
        <f t="shared" si="44"/>
        <v>0</v>
      </c>
      <c r="BK100" s="259">
        <f t="shared" si="45"/>
        <v>0</v>
      </c>
      <c r="BL100" s="259">
        <f t="shared" si="46"/>
        <v>0</v>
      </c>
      <c r="BM100" s="259">
        <f t="shared" si="47"/>
        <v>0</v>
      </c>
      <c r="BN100" s="259">
        <f t="shared" si="48"/>
        <v>0</v>
      </c>
      <c r="BO100" s="259">
        <f t="shared" si="49"/>
        <v>0</v>
      </c>
      <c r="BP100" s="259">
        <f t="shared" si="50"/>
        <v>0</v>
      </c>
      <c r="BQ100" s="259">
        <f t="shared" si="51"/>
        <v>0</v>
      </c>
      <c r="BR100" s="259">
        <f t="shared" si="52"/>
        <v>0</v>
      </c>
      <c r="BS100" s="259">
        <f t="shared" si="53"/>
        <v>0</v>
      </c>
      <c r="BT100" s="259">
        <f t="shared" si="54"/>
        <v>0</v>
      </c>
      <c r="BU100" s="259">
        <f t="shared" si="55"/>
        <v>0</v>
      </c>
      <c r="BV100" s="259">
        <f t="shared" si="56"/>
        <v>0</v>
      </c>
      <c r="BW100" s="260">
        <f t="shared" si="57"/>
        <v>0</v>
      </c>
    </row>
    <row r="101" spans="1:75">
      <c r="A101" s="75">
        <v>39680</v>
      </c>
      <c r="B101" s="75"/>
      <c r="C101" s="687">
        <f t="shared" si="58"/>
        <v>374766573.36000001</v>
      </c>
      <c r="D101" s="364">
        <f t="shared" si="58"/>
        <v>81110194.090000004</v>
      </c>
      <c r="E101" s="364">
        <f t="shared" si="58"/>
        <v>26644118.760000002</v>
      </c>
      <c r="F101" s="263">
        <f t="shared" ref="F101:S101" si="71">ROUND((F17-F18),2)</f>
        <v>0</v>
      </c>
      <c r="G101" s="263">
        <f t="shared" si="71"/>
        <v>0</v>
      </c>
      <c r="H101" s="263">
        <f t="shared" si="71"/>
        <v>0</v>
      </c>
      <c r="I101" s="263">
        <f t="shared" si="71"/>
        <v>0</v>
      </c>
      <c r="J101" s="263">
        <f t="shared" si="71"/>
        <v>0</v>
      </c>
      <c r="K101" s="263">
        <f t="shared" si="71"/>
        <v>0</v>
      </c>
      <c r="L101" s="263">
        <f t="shared" si="71"/>
        <v>0</v>
      </c>
      <c r="M101" s="263">
        <f t="shared" si="71"/>
        <v>0</v>
      </c>
      <c r="N101" s="263">
        <f t="shared" si="71"/>
        <v>0</v>
      </c>
      <c r="O101" s="263">
        <f t="shared" si="71"/>
        <v>0</v>
      </c>
      <c r="P101" s="263">
        <f t="shared" si="71"/>
        <v>0</v>
      </c>
      <c r="Q101" s="263">
        <f t="shared" si="71"/>
        <v>0</v>
      </c>
      <c r="R101" s="263">
        <f t="shared" si="71"/>
        <v>0</v>
      </c>
      <c r="S101" s="208">
        <f t="shared" si="71"/>
        <v>0</v>
      </c>
      <c r="T101" s="246">
        <f t="shared" si="39"/>
        <v>482520886.21000004</v>
      </c>
      <c r="U101" s="75">
        <v>39680</v>
      </c>
      <c r="V101" s="258">
        <v>374766573.36000001</v>
      </c>
      <c r="W101" s="403">
        <v>81110194.090000004</v>
      </c>
      <c r="X101" s="235">
        <v>26644118.760000002</v>
      </c>
      <c r="Y101" s="231"/>
      <c r="Z101" s="231"/>
      <c r="AA101" s="231"/>
      <c r="AB101" s="231"/>
      <c r="AC101" s="231"/>
      <c r="AD101" s="231"/>
      <c r="AE101" s="231"/>
      <c r="AF101" s="231"/>
      <c r="AG101" s="231"/>
      <c r="AH101" s="231"/>
      <c r="AI101" s="231"/>
      <c r="AJ101" s="231"/>
      <c r="AK101" s="231"/>
      <c r="AL101" s="231"/>
      <c r="AM101" s="232"/>
      <c r="AN101" s="75">
        <v>39680</v>
      </c>
      <c r="AO101" s="258">
        <f>C101-V101</f>
        <v>0</v>
      </c>
      <c r="AP101" s="259">
        <f>D101-W101</f>
        <v>0</v>
      </c>
      <c r="AQ101" s="259">
        <f>E101-X101</f>
        <v>0</v>
      </c>
      <c r="AR101" s="231">
        <f t="shared" si="22"/>
        <v>0</v>
      </c>
      <c r="AS101" s="231">
        <f t="shared" si="23"/>
        <v>0</v>
      </c>
      <c r="AT101" s="231">
        <f t="shared" si="24"/>
        <v>0</v>
      </c>
      <c r="AU101" s="231">
        <f t="shared" si="25"/>
        <v>0</v>
      </c>
      <c r="AV101" s="231">
        <f t="shared" si="26"/>
        <v>0</v>
      </c>
      <c r="AW101" s="231">
        <f t="shared" si="27"/>
        <v>0</v>
      </c>
      <c r="AX101" s="231">
        <f t="shared" si="28"/>
        <v>0</v>
      </c>
      <c r="AY101" s="231">
        <f t="shared" si="29"/>
        <v>0</v>
      </c>
      <c r="AZ101" s="231">
        <f t="shared" si="30"/>
        <v>0</v>
      </c>
      <c r="BA101" s="231">
        <f t="shared" si="31"/>
        <v>0</v>
      </c>
      <c r="BB101" s="231">
        <f t="shared" si="32"/>
        <v>0</v>
      </c>
      <c r="BC101" s="231">
        <f t="shared" si="33"/>
        <v>0</v>
      </c>
      <c r="BD101" s="231">
        <f t="shared" si="34"/>
        <v>0</v>
      </c>
      <c r="BE101" s="232">
        <f t="shared" si="35"/>
        <v>0</v>
      </c>
      <c r="BF101" s="75">
        <v>39680</v>
      </c>
      <c r="BG101" s="258">
        <f t="shared" si="41"/>
        <v>0</v>
      </c>
      <c r="BH101" s="259">
        <f t="shared" si="42"/>
        <v>0</v>
      </c>
      <c r="BI101" s="259">
        <f t="shared" si="43"/>
        <v>0</v>
      </c>
      <c r="BJ101" s="259">
        <f t="shared" si="44"/>
        <v>0</v>
      </c>
      <c r="BK101" s="259">
        <f t="shared" si="45"/>
        <v>0</v>
      </c>
      <c r="BL101" s="259">
        <f t="shared" si="46"/>
        <v>0</v>
      </c>
      <c r="BM101" s="259">
        <f t="shared" si="47"/>
        <v>0</v>
      </c>
      <c r="BN101" s="259">
        <f t="shared" si="48"/>
        <v>0</v>
      </c>
      <c r="BO101" s="259">
        <f t="shared" si="49"/>
        <v>0</v>
      </c>
      <c r="BP101" s="259">
        <f t="shared" si="50"/>
        <v>0</v>
      </c>
      <c r="BQ101" s="259">
        <f t="shared" si="51"/>
        <v>0</v>
      </c>
      <c r="BR101" s="259">
        <f t="shared" si="52"/>
        <v>0</v>
      </c>
      <c r="BS101" s="259">
        <f t="shared" si="53"/>
        <v>0</v>
      </c>
      <c r="BT101" s="259">
        <f t="shared" si="54"/>
        <v>0</v>
      </c>
      <c r="BU101" s="259">
        <f t="shared" si="55"/>
        <v>0</v>
      </c>
      <c r="BV101" s="259">
        <f t="shared" si="56"/>
        <v>0</v>
      </c>
      <c r="BW101" s="260">
        <f t="shared" si="57"/>
        <v>0</v>
      </c>
    </row>
    <row r="102" spans="1:75">
      <c r="A102" s="75">
        <v>39711</v>
      </c>
      <c r="B102" s="75"/>
      <c r="C102" s="687">
        <f t="shared" si="58"/>
        <v>0</v>
      </c>
      <c r="D102" s="364">
        <f t="shared" si="58"/>
        <v>0</v>
      </c>
      <c r="E102" s="364">
        <f t="shared" si="58"/>
        <v>0</v>
      </c>
      <c r="F102" s="263">
        <f t="shared" ref="F102:S102" si="72">ROUND((F18-F19),2)</f>
        <v>0</v>
      </c>
      <c r="G102" s="263">
        <f t="shared" si="72"/>
        <v>0</v>
      </c>
      <c r="H102" s="263">
        <f t="shared" si="72"/>
        <v>0</v>
      </c>
      <c r="I102" s="263">
        <f t="shared" si="72"/>
        <v>0</v>
      </c>
      <c r="J102" s="263">
        <f t="shared" si="72"/>
        <v>0</v>
      </c>
      <c r="K102" s="263">
        <f t="shared" si="72"/>
        <v>0</v>
      </c>
      <c r="L102" s="263">
        <f t="shared" si="72"/>
        <v>0</v>
      </c>
      <c r="M102" s="263">
        <f t="shared" si="72"/>
        <v>0</v>
      </c>
      <c r="N102" s="263">
        <f t="shared" si="72"/>
        <v>0</v>
      </c>
      <c r="O102" s="263">
        <f t="shared" si="72"/>
        <v>0</v>
      </c>
      <c r="P102" s="263">
        <f t="shared" si="72"/>
        <v>0</v>
      </c>
      <c r="Q102" s="263">
        <f t="shared" si="72"/>
        <v>0</v>
      </c>
      <c r="R102" s="263">
        <f t="shared" si="72"/>
        <v>0</v>
      </c>
      <c r="S102" s="208">
        <f t="shared" si="72"/>
        <v>0</v>
      </c>
      <c r="T102" s="246">
        <f t="shared" si="39"/>
        <v>0</v>
      </c>
      <c r="U102" s="75">
        <v>39711</v>
      </c>
      <c r="V102" s="257"/>
      <c r="W102" s="231"/>
      <c r="X102" s="231"/>
      <c r="Y102" s="231"/>
      <c r="Z102" s="231"/>
      <c r="AA102" s="231"/>
      <c r="AB102" s="231"/>
      <c r="AC102" s="231"/>
      <c r="AD102" s="231"/>
      <c r="AE102" s="231"/>
      <c r="AF102" s="231"/>
      <c r="AG102" s="231"/>
      <c r="AH102" s="231"/>
      <c r="AI102" s="231"/>
      <c r="AJ102" s="231"/>
      <c r="AK102" s="231"/>
      <c r="AL102" s="231"/>
      <c r="AM102" s="232"/>
      <c r="AN102" s="75">
        <v>39711</v>
      </c>
      <c r="AO102" s="233">
        <f t="shared" si="19"/>
        <v>0</v>
      </c>
      <c r="AP102" s="231">
        <f t="shared" si="20"/>
        <v>0</v>
      </c>
      <c r="AQ102" s="231">
        <f t="shared" si="21"/>
        <v>0</v>
      </c>
      <c r="AR102" s="231">
        <f t="shared" si="22"/>
        <v>0</v>
      </c>
      <c r="AS102" s="231">
        <f t="shared" si="23"/>
        <v>0</v>
      </c>
      <c r="AT102" s="231">
        <f t="shared" si="24"/>
        <v>0</v>
      </c>
      <c r="AU102" s="231">
        <f t="shared" si="25"/>
        <v>0</v>
      </c>
      <c r="AV102" s="231">
        <f t="shared" si="26"/>
        <v>0</v>
      </c>
      <c r="AW102" s="231">
        <f t="shared" si="27"/>
        <v>0</v>
      </c>
      <c r="AX102" s="231">
        <f t="shared" si="28"/>
        <v>0</v>
      </c>
      <c r="AY102" s="231">
        <f t="shared" si="29"/>
        <v>0</v>
      </c>
      <c r="AZ102" s="231">
        <f t="shared" si="30"/>
        <v>0</v>
      </c>
      <c r="BA102" s="231">
        <f t="shared" si="31"/>
        <v>0</v>
      </c>
      <c r="BB102" s="231">
        <f t="shared" si="32"/>
        <v>0</v>
      </c>
      <c r="BC102" s="231">
        <f t="shared" si="33"/>
        <v>0</v>
      </c>
      <c r="BD102" s="231">
        <f t="shared" si="34"/>
        <v>0</v>
      </c>
      <c r="BE102" s="232">
        <f t="shared" si="35"/>
        <v>0</v>
      </c>
      <c r="BF102" s="75">
        <v>39711</v>
      </c>
      <c r="BG102" s="258">
        <f t="shared" si="41"/>
        <v>0</v>
      </c>
      <c r="BH102" s="259">
        <f t="shared" si="42"/>
        <v>0</v>
      </c>
      <c r="BI102" s="259">
        <f t="shared" si="43"/>
        <v>0</v>
      </c>
      <c r="BJ102" s="259">
        <f t="shared" si="44"/>
        <v>0</v>
      </c>
      <c r="BK102" s="259">
        <f t="shared" si="45"/>
        <v>0</v>
      </c>
      <c r="BL102" s="259">
        <f t="shared" si="46"/>
        <v>0</v>
      </c>
      <c r="BM102" s="259">
        <f t="shared" si="47"/>
        <v>0</v>
      </c>
      <c r="BN102" s="259">
        <f t="shared" si="48"/>
        <v>0</v>
      </c>
      <c r="BO102" s="259">
        <f t="shared" si="49"/>
        <v>0</v>
      </c>
      <c r="BP102" s="259">
        <f t="shared" si="50"/>
        <v>0</v>
      </c>
      <c r="BQ102" s="259">
        <f t="shared" si="51"/>
        <v>0</v>
      </c>
      <c r="BR102" s="259">
        <f t="shared" si="52"/>
        <v>0</v>
      </c>
      <c r="BS102" s="259">
        <f t="shared" si="53"/>
        <v>0</v>
      </c>
      <c r="BT102" s="259">
        <f t="shared" si="54"/>
        <v>0</v>
      </c>
      <c r="BU102" s="259">
        <f t="shared" si="55"/>
        <v>0</v>
      </c>
      <c r="BV102" s="259">
        <f t="shared" si="56"/>
        <v>0</v>
      </c>
      <c r="BW102" s="260">
        <f t="shared" si="57"/>
        <v>0</v>
      </c>
    </row>
    <row r="103" spans="1:75">
      <c r="A103" s="75">
        <v>39741</v>
      </c>
      <c r="B103" s="75"/>
      <c r="C103" s="687">
        <f t="shared" si="58"/>
        <v>0</v>
      </c>
      <c r="D103" s="364">
        <f t="shared" si="58"/>
        <v>0</v>
      </c>
      <c r="E103" s="364">
        <f t="shared" si="58"/>
        <v>0</v>
      </c>
      <c r="F103" s="263">
        <f t="shared" ref="F103:S103" si="73">ROUND((F19-F20),2)</f>
        <v>0</v>
      </c>
      <c r="G103" s="263">
        <f t="shared" si="73"/>
        <v>0</v>
      </c>
      <c r="H103" s="263">
        <f t="shared" si="73"/>
        <v>0</v>
      </c>
      <c r="I103" s="263">
        <f t="shared" si="73"/>
        <v>0</v>
      </c>
      <c r="J103" s="263">
        <f t="shared" si="73"/>
        <v>0</v>
      </c>
      <c r="K103" s="263">
        <f t="shared" si="73"/>
        <v>0</v>
      </c>
      <c r="L103" s="263">
        <f t="shared" si="73"/>
        <v>0</v>
      </c>
      <c r="M103" s="263">
        <f t="shared" si="73"/>
        <v>0</v>
      </c>
      <c r="N103" s="263">
        <f t="shared" si="73"/>
        <v>0</v>
      </c>
      <c r="O103" s="263">
        <f t="shared" si="73"/>
        <v>0</v>
      </c>
      <c r="P103" s="263">
        <f t="shared" si="73"/>
        <v>0</v>
      </c>
      <c r="Q103" s="263">
        <f t="shared" si="73"/>
        <v>0</v>
      </c>
      <c r="R103" s="263">
        <f t="shared" si="73"/>
        <v>0</v>
      </c>
      <c r="S103" s="208">
        <f t="shared" si="73"/>
        <v>0</v>
      </c>
      <c r="T103" s="246">
        <f t="shared" si="39"/>
        <v>0</v>
      </c>
      <c r="U103" s="75">
        <v>39741</v>
      </c>
      <c r="V103" s="257"/>
      <c r="W103" s="231"/>
      <c r="X103" s="231"/>
      <c r="Y103" s="231"/>
      <c r="Z103" s="231"/>
      <c r="AA103" s="231"/>
      <c r="AB103" s="231"/>
      <c r="AC103" s="231"/>
      <c r="AD103" s="231"/>
      <c r="AE103" s="231"/>
      <c r="AF103" s="231"/>
      <c r="AG103" s="231"/>
      <c r="AH103" s="231"/>
      <c r="AI103" s="231"/>
      <c r="AJ103" s="231"/>
      <c r="AK103" s="231"/>
      <c r="AL103" s="231"/>
      <c r="AM103" s="232"/>
      <c r="AN103" s="75">
        <v>39741</v>
      </c>
      <c r="AO103" s="233">
        <f t="shared" si="19"/>
        <v>0</v>
      </c>
      <c r="AP103" s="231">
        <f t="shared" si="20"/>
        <v>0</v>
      </c>
      <c r="AQ103" s="231">
        <f t="shared" si="21"/>
        <v>0</v>
      </c>
      <c r="AR103" s="231">
        <f t="shared" si="22"/>
        <v>0</v>
      </c>
      <c r="AS103" s="231">
        <f t="shared" si="23"/>
        <v>0</v>
      </c>
      <c r="AT103" s="231">
        <f t="shared" si="24"/>
        <v>0</v>
      </c>
      <c r="AU103" s="231">
        <f t="shared" si="25"/>
        <v>0</v>
      </c>
      <c r="AV103" s="231">
        <f t="shared" si="26"/>
        <v>0</v>
      </c>
      <c r="AW103" s="231">
        <f t="shared" si="27"/>
        <v>0</v>
      </c>
      <c r="AX103" s="231">
        <f t="shared" si="28"/>
        <v>0</v>
      </c>
      <c r="AY103" s="231">
        <f t="shared" si="29"/>
        <v>0</v>
      </c>
      <c r="AZ103" s="231">
        <f t="shared" si="30"/>
        <v>0</v>
      </c>
      <c r="BA103" s="231">
        <f t="shared" si="31"/>
        <v>0</v>
      </c>
      <c r="BB103" s="231">
        <f t="shared" si="32"/>
        <v>0</v>
      </c>
      <c r="BC103" s="231">
        <f t="shared" si="33"/>
        <v>0</v>
      </c>
      <c r="BD103" s="231">
        <f t="shared" si="34"/>
        <v>0</v>
      </c>
      <c r="BE103" s="232">
        <f t="shared" si="35"/>
        <v>0</v>
      </c>
      <c r="BF103" s="75">
        <v>39741</v>
      </c>
      <c r="BG103" s="258">
        <f t="shared" si="41"/>
        <v>0</v>
      </c>
      <c r="BH103" s="259">
        <f t="shared" si="42"/>
        <v>0</v>
      </c>
      <c r="BI103" s="259">
        <f t="shared" si="43"/>
        <v>0</v>
      </c>
      <c r="BJ103" s="259">
        <f t="shared" si="44"/>
        <v>0</v>
      </c>
      <c r="BK103" s="259">
        <f t="shared" si="45"/>
        <v>0</v>
      </c>
      <c r="BL103" s="259">
        <f t="shared" si="46"/>
        <v>0</v>
      </c>
      <c r="BM103" s="259">
        <f t="shared" si="47"/>
        <v>0</v>
      </c>
      <c r="BN103" s="259">
        <f t="shared" si="48"/>
        <v>0</v>
      </c>
      <c r="BO103" s="259">
        <f t="shared" si="49"/>
        <v>0</v>
      </c>
      <c r="BP103" s="259">
        <f t="shared" si="50"/>
        <v>0</v>
      </c>
      <c r="BQ103" s="259">
        <f t="shared" si="51"/>
        <v>0</v>
      </c>
      <c r="BR103" s="259">
        <f t="shared" si="52"/>
        <v>0</v>
      </c>
      <c r="BS103" s="259">
        <f t="shared" si="53"/>
        <v>0</v>
      </c>
      <c r="BT103" s="259">
        <f t="shared" si="54"/>
        <v>0</v>
      </c>
      <c r="BU103" s="259">
        <f t="shared" si="55"/>
        <v>0</v>
      </c>
      <c r="BV103" s="259">
        <f t="shared" si="56"/>
        <v>0</v>
      </c>
      <c r="BW103" s="260">
        <f t="shared" si="57"/>
        <v>0</v>
      </c>
    </row>
    <row r="104" spans="1:75">
      <c r="A104" s="75">
        <v>39772</v>
      </c>
      <c r="B104" s="75"/>
      <c r="C104" s="687">
        <f t="shared" si="58"/>
        <v>313665628.72000003</v>
      </c>
      <c r="D104" s="364">
        <f t="shared" si="58"/>
        <v>67886203.930000007</v>
      </c>
      <c r="E104" s="364">
        <f t="shared" si="58"/>
        <v>22300132.559999999</v>
      </c>
      <c r="F104" s="263">
        <f t="shared" ref="F104:S104" si="74">ROUND((F20-F21),2)</f>
        <v>0</v>
      </c>
      <c r="G104" s="263">
        <f t="shared" si="74"/>
        <v>0</v>
      </c>
      <c r="H104" s="263">
        <f t="shared" si="74"/>
        <v>0</v>
      </c>
      <c r="I104" s="263">
        <f t="shared" si="74"/>
        <v>0</v>
      </c>
      <c r="J104" s="263">
        <f t="shared" si="74"/>
        <v>0</v>
      </c>
      <c r="K104" s="263">
        <f t="shared" si="74"/>
        <v>31312798.359999999</v>
      </c>
      <c r="L104" s="263">
        <f t="shared" si="74"/>
        <v>0</v>
      </c>
      <c r="M104" s="263">
        <f t="shared" si="74"/>
        <v>0</v>
      </c>
      <c r="N104" s="263">
        <f t="shared" si="74"/>
        <v>23666649.920000002</v>
      </c>
      <c r="O104" s="263">
        <f t="shared" si="74"/>
        <v>0</v>
      </c>
      <c r="P104" s="263">
        <f t="shared" si="74"/>
        <v>0</v>
      </c>
      <c r="Q104" s="263">
        <f t="shared" si="74"/>
        <v>0</v>
      </c>
      <c r="R104" s="263">
        <f t="shared" si="74"/>
        <v>0</v>
      </c>
      <c r="S104" s="208">
        <f t="shared" si="74"/>
        <v>0</v>
      </c>
      <c r="T104" s="246">
        <f t="shared" si="39"/>
        <v>458831413.49000007</v>
      </c>
      <c r="U104" s="75">
        <v>39772</v>
      </c>
      <c r="V104" s="258">
        <v>313665628.72000003</v>
      </c>
      <c r="W104" s="259">
        <v>67886203.930000007</v>
      </c>
      <c r="X104" s="259">
        <v>22300132.559999999</v>
      </c>
      <c r="Y104" s="259">
        <v>0</v>
      </c>
      <c r="Z104" s="259">
        <v>0</v>
      </c>
      <c r="AA104" s="259">
        <v>0</v>
      </c>
      <c r="AB104" s="259">
        <v>0</v>
      </c>
      <c r="AC104" s="259">
        <v>0</v>
      </c>
      <c r="AD104" s="259">
        <v>31312798.359999999</v>
      </c>
      <c r="AE104" s="259">
        <v>0</v>
      </c>
      <c r="AF104" s="259">
        <v>0</v>
      </c>
      <c r="AG104" s="259">
        <v>23666649.920000002</v>
      </c>
      <c r="AH104" s="208">
        <v>0</v>
      </c>
      <c r="AI104" s="208">
        <v>0</v>
      </c>
      <c r="AJ104" s="208">
        <v>0</v>
      </c>
      <c r="AK104" s="208">
        <v>0</v>
      </c>
      <c r="AL104" s="208">
        <v>0</v>
      </c>
      <c r="AM104" s="232"/>
      <c r="AN104" s="75">
        <v>39772</v>
      </c>
      <c r="AO104" s="258">
        <f>C104-V104</f>
        <v>0</v>
      </c>
      <c r="AP104" s="688">
        <f>D104-W104</f>
        <v>0</v>
      </c>
      <c r="AQ104" s="231">
        <f t="shared" si="21"/>
        <v>0</v>
      </c>
      <c r="AR104" s="231">
        <f t="shared" si="22"/>
        <v>0</v>
      </c>
      <c r="AS104" s="231">
        <f t="shared" si="23"/>
        <v>0</v>
      </c>
      <c r="AT104" s="231">
        <f t="shared" si="24"/>
        <v>0</v>
      </c>
      <c r="AU104" s="231">
        <f t="shared" si="25"/>
        <v>0</v>
      </c>
      <c r="AV104" s="231">
        <f t="shared" si="26"/>
        <v>0</v>
      </c>
      <c r="AW104" s="231">
        <f t="shared" si="27"/>
        <v>0</v>
      </c>
      <c r="AX104" s="231">
        <f t="shared" si="28"/>
        <v>0</v>
      </c>
      <c r="AY104" s="231">
        <f t="shared" si="29"/>
        <v>0</v>
      </c>
      <c r="AZ104" s="231">
        <f t="shared" si="30"/>
        <v>0</v>
      </c>
      <c r="BA104" s="231">
        <f t="shared" si="31"/>
        <v>0</v>
      </c>
      <c r="BB104" s="231">
        <f t="shared" si="32"/>
        <v>0</v>
      </c>
      <c r="BC104" s="231">
        <f t="shared" si="33"/>
        <v>0</v>
      </c>
      <c r="BD104" s="231">
        <f t="shared" si="34"/>
        <v>0</v>
      </c>
      <c r="BE104" s="232">
        <f t="shared" si="35"/>
        <v>0</v>
      </c>
      <c r="BF104" s="75">
        <v>39772</v>
      </c>
      <c r="BG104" s="258">
        <f>+BG103+AO104</f>
        <v>0</v>
      </c>
      <c r="BH104" s="259">
        <f t="shared" si="42"/>
        <v>0</v>
      </c>
      <c r="BI104" s="259">
        <f t="shared" si="43"/>
        <v>0</v>
      </c>
      <c r="BJ104" s="259">
        <f t="shared" si="44"/>
        <v>0</v>
      </c>
      <c r="BK104" s="259">
        <f t="shared" si="45"/>
        <v>0</v>
      </c>
      <c r="BL104" s="259">
        <f t="shared" si="46"/>
        <v>0</v>
      </c>
      <c r="BM104" s="259">
        <f t="shared" si="47"/>
        <v>0</v>
      </c>
      <c r="BN104" s="259">
        <f t="shared" si="48"/>
        <v>0</v>
      </c>
      <c r="BO104" s="259">
        <f t="shared" si="49"/>
        <v>0</v>
      </c>
      <c r="BP104" s="259">
        <f t="shared" si="50"/>
        <v>0</v>
      </c>
      <c r="BQ104" s="259">
        <f t="shared" si="51"/>
        <v>0</v>
      </c>
      <c r="BR104" s="259">
        <f t="shared" si="52"/>
        <v>0</v>
      </c>
      <c r="BS104" s="259">
        <f t="shared" si="53"/>
        <v>0</v>
      </c>
      <c r="BT104" s="259">
        <f t="shared" si="54"/>
        <v>0</v>
      </c>
      <c r="BU104" s="259">
        <f t="shared" si="55"/>
        <v>0</v>
      </c>
      <c r="BV104" s="259">
        <f t="shared" si="56"/>
        <v>0</v>
      </c>
      <c r="BW104" s="260">
        <f t="shared" si="57"/>
        <v>0</v>
      </c>
    </row>
    <row r="105" spans="1:75">
      <c r="A105" s="75">
        <v>39802</v>
      </c>
      <c r="B105" s="75"/>
      <c r="C105" s="262">
        <f t="shared" ref="C105:S105" si="75">ROUND((C21-C22),2)</f>
        <v>0</v>
      </c>
      <c r="D105" s="263">
        <f t="shared" si="75"/>
        <v>0</v>
      </c>
      <c r="E105" s="230">
        <f>((E21-E22))</f>
        <v>0</v>
      </c>
      <c r="F105" s="263">
        <f t="shared" si="75"/>
        <v>0</v>
      </c>
      <c r="G105" s="263">
        <f t="shared" si="75"/>
        <v>0</v>
      </c>
      <c r="H105" s="263">
        <f t="shared" si="75"/>
        <v>0</v>
      </c>
      <c r="I105" s="263">
        <f t="shared" si="75"/>
        <v>0</v>
      </c>
      <c r="J105" s="263">
        <f t="shared" si="75"/>
        <v>0</v>
      </c>
      <c r="K105" s="263">
        <f t="shared" si="75"/>
        <v>0</v>
      </c>
      <c r="L105" s="263">
        <f t="shared" si="75"/>
        <v>0</v>
      </c>
      <c r="M105" s="263">
        <f t="shared" si="75"/>
        <v>0</v>
      </c>
      <c r="N105" s="263">
        <f t="shared" si="75"/>
        <v>0</v>
      </c>
      <c r="O105" s="263">
        <f t="shared" si="75"/>
        <v>0</v>
      </c>
      <c r="P105" s="263">
        <f t="shared" si="75"/>
        <v>0</v>
      </c>
      <c r="Q105" s="263">
        <f t="shared" si="75"/>
        <v>0</v>
      </c>
      <c r="R105" s="263">
        <f t="shared" si="75"/>
        <v>0</v>
      </c>
      <c r="S105" s="208">
        <f t="shared" si="75"/>
        <v>0</v>
      </c>
      <c r="T105" s="246">
        <f t="shared" si="39"/>
        <v>0</v>
      </c>
      <c r="U105" s="75">
        <v>39802</v>
      </c>
      <c r="V105" s="257"/>
      <c r="W105" s="231"/>
      <c r="X105" s="231"/>
      <c r="Y105" s="231"/>
      <c r="Z105" s="231"/>
      <c r="AA105" s="231"/>
      <c r="AB105" s="231"/>
      <c r="AC105" s="231"/>
      <c r="AD105" s="231"/>
      <c r="AE105" s="231"/>
      <c r="AF105" s="231"/>
      <c r="AG105" s="231"/>
      <c r="AH105" s="231"/>
      <c r="AI105" s="231"/>
      <c r="AJ105" s="231"/>
      <c r="AK105" s="231"/>
      <c r="AL105" s="231"/>
      <c r="AM105" s="232"/>
      <c r="AN105" s="75">
        <v>39802</v>
      </c>
      <c r="AO105" s="233">
        <f t="shared" si="19"/>
        <v>0</v>
      </c>
      <c r="AP105" s="231">
        <f t="shared" si="20"/>
        <v>0</v>
      </c>
      <c r="AQ105" s="231">
        <f t="shared" si="21"/>
        <v>0</v>
      </c>
      <c r="AR105" s="231">
        <f t="shared" si="22"/>
        <v>0</v>
      </c>
      <c r="AS105" s="231">
        <f t="shared" si="23"/>
        <v>0</v>
      </c>
      <c r="AT105" s="231">
        <f t="shared" si="24"/>
        <v>0</v>
      </c>
      <c r="AU105" s="231">
        <f t="shared" si="25"/>
        <v>0</v>
      </c>
      <c r="AV105" s="231">
        <f t="shared" si="26"/>
        <v>0</v>
      </c>
      <c r="AW105" s="231">
        <f t="shared" si="27"/>
        <v>0</v>
      </c>
      <c r="AX105" s="231">
        <f t="shared" si="28"/>
        <v>0</v>
      </c>
      <c r="AY105" s="231">
        <f t="shared" si="29"/>
        <v>0</v>
      </c>
      <c r="AZ105" s="231">
        <f t="shared" si="30"/>
        <v>0</v>
      </c>
      <c r="BA105" s="231">
        <f t="shared" si="31"/>
        <v>0</v>
      </c>
      <c r="BB105" s="231">
        <f t="shared" si="32"/>
        <v>0</v>
      </c>
      <c r="BC105" s="231">
        <f t="shared" si="33"/>
        <v>0</v>
      </c>
      <c r="BD105" s="231">
        <f t="shared" si="34"/>
        <v>0</v>
      </c>
      <c r="BE105" s="232">
        <f t="shared" si="35"/>
        <v>0</v>
      </c>
      <c r="BF105" s="75">
        <v>39802</v>
      </c>
      <c r="BG105" s="258">
        <f t="shared" si="41"/>
        <v>0</v>
      </c>
      <c r="BH105" s="259">
        <f t="shared" si="42"/>
        <v>0</v>
      </c>
      <c r="BI105" s="259">
        <f t="shared" si="43"/>
        <v>0</v>
      </c>
      <c r="BJ105" s="259">
        <f t="shared" si="44"/>
        <v>0</v>
      </c>
      <c r="BK105" s="259">
        <f t="shared" si="45"/>
        <v>0</v>
      </c>
      <c r="BL105" s="259">
        <f t="shared" si="46"/>
        <v>0</v>
      </c>
      <c r="BM105" s="259">
        <f t="shared" si="47"/>
        <v>0</v>
      </c>
      <c r="BN105" s="259">
        <f t="shared" si="48"/>
        <v>0</v>
      </c>
      <c r="BO105" s="259">
        <f t="shared" si="49"/>
        <v>0</v>
      </c>
      <c r="BP105" s="259">
        <f t="shared" si="50"/>
        <v>0</v>
      </c>
      <c r="BQ105" s="259">
        <f t="shared" si="51"/>
        <v>0</v>
      </c>
      <c r="BR105" s="259">
        <f t="shared" si="52"/>
        <v>0</v>
      </c>
      <c r="BS105" s="259">
        <f t="shared" si="53"/>
        <v>0</v>
      </c>
      <c r="BT105" s="259">
        <f t="shared" si="54"/>
        <v>0</v>
      </c>
      <c r="BU105" s="259">
        <f t="shared" si="55"/>
        <v>0</v>
      </c>
      <c r="BV105" s="259">
        <f t="shared" si="56"/>
        <v>0</v>
      </c>
      <c r="BW105" s="260">
        <f t="shared" si="57"/>
        <v>0</v>
      </c>
    </row>
    <row r="106" spans="1:75">
      <c r="A106" s="75">
        <v>39833</v>
      </c>
      <c r="B106" s="75"/>
      <c r="C106" s="262">
        <f t="shared" ref="C106:S106" si="76">ROUND((C22-C23),2)</f>
        <v>0</v>
      </c>
      <c r="D106" s="263">
        <f t="shared" si="76"/>
        <v>0</v>
      </c>
      <c r="E106" s="263">
        <f t="shared" si="76"/>
        <v>0</v>
      </c>
      <c r="F106" s="263">
        <f t="shared" si="76"/>
        <v>0</v>
      </c>
      <c r="G106" s="263">
        <f t="shared" si="76"/>
        <v>0</v>
      </c>
      <c r="H106" s="263">
        <f t="shared" si="76"/>
        <v>0</v>
      </c>
      <c r="I106" s="263">
        <f t="shared" si="76"/>
        <v>0</v>
      </c>
      <c r="J106" s="263">
        <f t="shared" si="76"/>
        <v>0</v>
      </c>
      <c r="K106" s="263">
        <f t="shared" si="76"/>
        <v>0</v>
      </c>
      <c r="L106" s="263">
        <f t="shared" si="76"/>
        <v>0</v>
      </c>
      <c r="M106" s="263">
        <f t="shared" si="76"/>
        <v>0</v>
      </c>
      <c r="N106" s="263">
        <f t="shared" si="76"/>
        <v>0</v>
      </c>
      <c r="O106" s="263">
        <f t="shared" si="76"/>
        <v>0</v>
      </c>
      <c r="P106" s="263">
        <f t="shared" si="76"/>
        <v>0</v>
      </c>
      <c r="Q106" s="263">
        <f t="shared" si="76"/>
        <v>0</v>
      </c>
      <c r="R106" s="263">
        <f t="shared" si="76"/>
        <v>0</v>
      </c>
      <c r="S106" s="208">
        <f t="shared" si="76"/>
        <v>0</v>
      </c>
      <c r="T106" s="246">
        <f t="shared" si="39"/>
        <v>0</v>
      </c>
      <c r="U106" s="75">
        <v>39833</v>
      </c>
      <c r="V106" s="257"/>
      <c r="W106" s="231"/>
      <c r="X106" s="231"/>
      <c r="Y106" s="231"/>
      <c r="Z106" s="231"/>
      <c r="AA106" s="231"/>
      <c r="AB106" s="231"/>
      <c r="AC106" s="231"/>
      <c r="AD106" s="231"/>
      <c r="AE106" s="231"/>
      <c r="AF106" s="231"/>
      <c r="AG106" s="231"/>
      <c r="AH106" s="231"/>
      <c r="AI106" s="231"/>
      <c r="AJ106" s="231"/>
      <c r="AK106" s="231"/>
      <c r="AL106" s="231"/>
      <c r="AM106" s="232"/>
      <c r="AN106" s="75">
        <v>39833</v>
      </c>
      <c r="AO106" s="233">
        <f t="shared" si="19"/>
        <v>0</v>
      </c>
      <c r="AP106" s="231">
        <f t="shared" si="20"/>
        <v>0</v>
      </c>
      <c r="AQ106" s="231">
        <f t="shared" si="21"/>
        <v>0</v>
      </c>
      <c r="AR106" s="231">
        <f t="shared" si="22"/>
        <v>0</v>
      </c>
      <c r="AS106" s="231">
        <f t="shared" si="23"/>
        <v>0</v>
      </c>
      <c r="AT106" s="231">
        <f t="shared" si="24"/>
        <v>0</v>
      </c>
      <c r="AU106" s="231">
        <f t="shared" si="25"/>
        <v>0</v>
      </c>
      <c r="AV106" s="231">
        <f t="shared" si="26"/>
        <v>0</v>
      </c>
      <c r="AW106" s="231">
        <f t="shared" si="27"/>
        <v>0</v>
      </c>
      <c r="AX106" s="231">
        <f t="shared" si="28"/>
        <v>0</v>
      </c>
      <c r="AY106" s="231">
        <f t="shared" si="29"/>
        <v>0</v>
      </c>
      <c r="AZ106" s="231">
        <f t="shared" si="30"/>
        <v>0</v>
      </c>
      <c r="BA106" s="231">
        <f t="shared" si="31"/>
        <v>0</v>
      </c>
      <c r="BB106" s="231">
        <f t="shared" si="32"/>
        <v>0</v>
      </c>
      <c r="BC106" s="231">
        <f t="shared" si="33"/>
        <v>0</v>
      </c>
      <c r="BD106" s="231">
        <f t="shared" si="34"/>
        <v>0</v>
      </c>
      <c r="BE106" s="232">
        <f t="shared" si="35"/>
        <v>0</v>
      </c>
      <c r="BF106" s="75">
        <v>39833</v>
      </c>
      <c r="BG106" s="258">
        <f t="shared" si="41"/>
        <v>0</v>
      </c>
      <c r="BH106" s="259">
        <f t="shared" si="42"/>
        <v>0</v>
      </c>
      <c r="BI106" s="259">
        <f t="shared" si="43"/>
        <v>0</v>
      </c>
      <c r="BJ106" s="259">
        <f t="shared" si="44"/>
        <v>0</v>
      </c>
      <c r="BK106" s="259">
        <f t="shared" si="45"/>
        <v>0</v>
      </c>
      <c r="BL106" s="259">
        <f t="shared" si="46"/>
        <v>0</v>
      </c>
      <c r="BM106" s="259">
        <f t="shared" si="47"/>
        <v>0</v>
      </c>
      <c r="BN106" s="259">
        <f t="shared" si="48"/>
        <v>0</v>
      </c>
      <c r="BO106" s="259">
        <f t="shared" si="49"/>
        <v>0</v>
      </c>
      <c r="BP106" s="259">
        <f t="shared" si="50"/>
        <v>0</v>
      </c>
      <c r="BQ106" s="259">
        <f t="shared" si="51"/>
        <v>0</v>
      </c>
      <c r="BR106" s="259">
        <f t="shared" si="52"/>
        <v>0</v>
      </c>
      <c r="BS106" s="259">
        <f t="shared" si="53"/>
        <v>0</v>
      </c>
      <c r="BT106" s="259">
        <f t="shared" si="54"/>
        <v>0</v>
      </c>
      <c r="BU106" s="259">
        <f t="shared" si="55"/>
        <v>0</v>
      </c>
      <c r="BV106" s="259">
        <f t="shared" si="56"/>
        <v>0</v>
      </c>
      <c r="BW106" s="260">
        <f t="shared" si="57"/>
        <v>0</v>
      </c>
    </row>
    <row r="107" spans="1:75">
      <c r="A107" s="75">
        <v>39864</v>
      </c>
      <c r="B107" s="75"/>
      <c r="C107" s="262">
        <f t="shared" ref="C107:S107" si="77">ROUND((C23-C24),2)</f>
        <v>0</v>
      </c>
      <c r="D107" s="263">
        <f t="shared" si="77"/>
        <v>0</v>
      </c>
      <c r="E107" s="263">
        <f t="shared" si="77"/>
        <v>0</v>
      </c>
      <c r="F107" s="685">
        <f>ROUND((F23-F24),2)</f>
        <v>275982205.72000003</v>
      </c>
      <c r="G107" s="685">
        <f t="shared" si="77"/>
        <v>76091041</v>
      </c>
      <c r="H107" s="263">
        <f t="shared" si="77"/>
        <v>0</v>
      </c>
      <c r="I107" s="263">
        <f t="shared" si="77"/>
        <v>0</v>
      </c>
      <c r="J107" s="263">
        <f t="shared" si="77"/>
        <v>0</v>
      </c>
      <c r="K107" s="685">
        <f t="shared" si="77"/>
        <v>54687201.640000001</v>
      </c>
      <c r="L107" s="685">
        <f t="shared" si="77"/>
        <v>0</v>
      </c>
      <c r="M107" s="685">
        <f t="shared" si="77"/>
        <v>0</v>
      </c>
      <c r="N107" s="685">
        <f t="shared" si="77"/>
        <v>41333350.079999998</v>
      </c>
      <c r="O107" s="685">
        <f t="shared" si="77"/>
        <v>0</v>
      </c>
      <c r="P107" s="685">
        <f t="shared" si="77"/>
        <v>0</v>
      </c>
      <c r="Q107" s="685">
        <f t="shared" si="77"/>
        <v>0</v>
      </c>
      <c r="R107" s="685">
        <f t="shared" si="77"/>
        <v>0</v>
      </c>
      <c r="S107" s="259">
        <f t="shared" si="77"/>
        <v>0</v>
      </c>
      <c r="T107" s="246">
        <f t="shared" si="39"/>
        <v>448093798.44</v>
      </c>
      <c r="U107" s="75">
        <v>39864</v>
      </c>
      <c r="V107" s="257"/>
      <c r="W107" s="231"/>
      <c r="X107" s="231"/>
      <c r="Y107" s="235">
        <v>275982205.72000003</v>
      </c>
      <c r="Z107" s="235">
        <v>76091041</v>
      </c>
      <c r="AA107" s="231"/>
      <c r="AB107" s="231"/>
      <c r="AC107" s="231"/>
      <c r="AD107" s="235">
        <v>54687201.640000001</v>
      </c>
      <c r="AE107" s="231"/>
      <c r="AF107" s="231"/>
      <c r="AG107" s="235">
        <v>41333350.079999998</v>
      </c>
      <c r="AH107" s="231"/>
      <c r="AI107" s="231"/>
      <c r="AJ107" s="231"/>
      <c r="AK107" s="231"/>
      <c r="AL107" s="231"/>
      <c r="AM107" s="232"/>
      <c r="AN107" s="75">
        <v>39864</v>
      </c>
      <c r="AO107" s="233">
        <f t="shared" si="19"/>
        <v>0</v>
      </c>
      <c r="AP107" s="231">
        <f t="shared" si="20"/>
        <v>0</v>
      </c>
      <c r="AQ107" s="231">
        <f t="shared" si="21"/>
        <v>0</v>
      </c>
      <c r="AR107" s="231">
        <f t="shared" si="22"/>
        <v>0</v>
      </c>
      <c r="AS107" s="231">
        <f t="shared" si="23"/>
        <v>0</v>
      </c>
      <c r="AT107" s="231">
        <f t="shared" si="24"/>
        <v>0</v>
      </c>
      <c r="AU107" s="231">
        <f t="shared" si="25"/>
        <v>0</v>
      </c>
      <c r="AV107" s="231">
        <f t="shared" si="26"/>
        <v>0</v>
      </c>
      <c r="AW107" s="231">
        <f t="shared" si="27"/>
        <v>0</v>
      </c>
      <c r="AX107" s="231">
        <f t="shared" si="28"/>
        <v>0</v>
      </c>
      <c r="AY107" s="231">
        <f t="shared" si="29"/>
        <v>0</v>
      </c>
      <c r="AZ107" s="231">
        <f t="shared" si="30"/>
        <v>0</v>
      </c>
      <c r="BA107" s="231">
        <f t="shared" si="31"/>
        <v>0</v>
      </c>
      <c r="BB107" s="231">
        <f t="shared" si="32"/>
        <v>0</v>
      </c>
      <c r="BC107" s="231">
        <f t="shared" si="33"/>
        <v>0</v>
      </c>
      <c r="BD107" s="231">
        <f t="shared" si="34"/>
        <v>0</v>
      </c>
      <c r="BE107" s="232">
        <f t="shared" si="35"/>
        <v>0</v>
      </c>
      <c r="BF107" s="75">
        <v>39864</v>
      </c>
      <c r="BG107" s="258">
        <f t="shared" si="41"/>
        <v>0</v>
      </c>
      <c r="BH107" s="259">
        <f t="shared" si="42"/>
        <v>0</v>
      </c>
      <c r="BI107" s="259">
        <f t="shared" si="43"/>
        <v>0</v>
      </c>
      <c r="BJ107" s="259">
        <f t="shared" si="44"/>
        <v>0</v>
      </c>
      <c r="BK107" s="259">
        <f t="shared" si="45"/>
        <v>0</v>
      </c>
      <c r="BL107" s="259">
        <f t="shared" si="46"/>
        <v>0</v>
      </c>
      <c r="BM107" s="259">
        <f t="shared" si="47"/>
        <v>0</v>
      </c>
      <c r="BN107" s="259">
        <f t="shared" si="48"/>
        <v>0</v>
      </c>
      <c r="BO107" s="259">
        <f t="shared" si="49"/>
        <v>0</v>
      </c>
      <c r="BP107" s="259">
        <f t="shared" si="50"/>
        <v>0</v>
      </c>
      <c r="BQ107" s="259">
        <f t="shared" si="51"/>
        <v>0</v>
      </c>
      <c r="BR107" s="259">
        <f t="shared" si="52"/>
        <v>0</v>
      </c>
      <c r="BS107" s="259">
        <f t="shared" si="53"/>
        <v>0</v>
      </c>
      <c r="BT107" s="259">
        <f t="shared" si="54"/>
        <v>0</v>
      </c>
      <c r="BU107" s="259">
        <f t="shared" si="55"/>
        <v>0</v>
      </c>
      <c r="BV107" s="259">
        <f t="shared" si="56"/>
        <v>0</v>
      </c>
      <c r="BW107" s="260">
        <f t="shared" si="57"/>
        <v>0</v>
      </c>
    </row>
    <row r="108" spans="1:75">
      <c r="A108" s="75">
        <v>39892</v>
      </c>
      <c r="B108" s="75"/>
      <c r="C108" s="262">
        <f t="shared" ref="C108:S108" si="78">ROUND((C24-C25),2)</f>
        <v>0</v>
      </c>
      <c r="D108" s="263">
        <f t="shared" si="78"/>
        <v>0</v>
      </c>
      <c r="E108" s="263">
        <f t="shared" si="78"/>
        <v>0</v>
      </c>
      <c r="F108" s="685">
        <f t="shared" si="78"/>
        <v>0</v>
      </c>
      <c r="G108" s="685">
        <f t="shared" si="78"/>
        <v>0</v>
      </c>
      <c r="H108" s="263">
        <f t="shared" si="78"/>
        <v>0</v>
      </c>
      <c r="I108" s="263">
        <f t="shared" si="78"/>
        <v>0</v>
      </c>
      <c r="J108" s="263">
        <f t="shared" si="78"/>
        <v>0</v>
      </c>
      <c r="K108" s="685">
        <f t="shared" si="78"/>
        <v>0</v>
      </c>
      <c r="L108" s="685">
        <f t="shared" si="78"/>
        <v>0</v>
      </c>
      <c r="M108" s="685">
        <f t="shared" si="78"/>
        <v>0</v>
      </c>
      <c r="N108" s="685">
        <f t="shared" si="78"/>
        <v>0</v>
      </c>
      <c r="O108" s="685">
        <f t="shared" si="78"/>
        <v>0</v>
      </c>
      <c r="P108" s="685">
        <f t="shared" si="78"/>
        <v>0</v>
      </c>
      <c r="Q108" s="685">
        <f t="shared" si="78"/>
        <v>0</v>
      </c>
      <c r="R108" s="685">
        <f t="shared" si="78"/>
        <v>0</v>
      </c>
      <c r="S108" s="259">
        <f t="shared" si="78"/>
        <v>0</v>
      </c>
      <c r="T108" s="246">
        <f t="shared" si="39"/>
        <v>0</v>
      </c>
      <c r="U108" s="75">
        <v>39892</v>
      </c>
      <c r="V108" s="257"/>
      <c r="W108" s="231"/>
      <c r="X108" s="231"/>
      <c r="Y108" s="231"/>
      <c r="Z108" s="231"/>
      <c r="AA108" s="231"/>
      <c r="AB108" s="231"/>
      <c r="AC108" s="231"/>
      <c r="AD108" s="231"/>
      <c r="AE108" s="231"/>
      <c r="AF108" s="231"/>
      <c r="AG108" s="231"/>
      <c r="AH108" s="231"/>
      <c r="AI108" s="231"/>
      <c r="AJ108" s="231"/>
      <c r="AK108" s="231"/>
      <c r="AL108" s="231"/>
      <c r="AM108" s="232"/>
      <c r="AN108" s="75">
        <v>39892</v>
      </c>
      <c r="AO108" s="233">
        <f t="shared" si="19"/>
        <v>0</v>
      </c>
      <c r="AP108" s="231">
        <f t="shared" si="20"/>
        <v>0</v>
      </c>
      <c r="AQ108" s="231">
        <f t="shared" si="21"/>
        <v>0</v>
      </c>
      <c r="AR108" s="231">
        <f t="shared" si="22"/>
        <v>0</v>
      </c>
      <c r="AS108" s="231">
        <f t="shared" si="23"/>
        <v>0</v>
      </c>
      <c r="AT108" s="231">
        <f t="shared" si="24"/>
        <v>0</v>
      </c>
      <c r="AU108" s="231">
        <f t="shared" si="25"/>
        <v>0</v>
      </c>
      <c r="AV108" s="231">
        <f t="shared" si="26"/>
        <v>0</v>
      </c>
      <c r="AW108" s="231">
        <f t="shared" si="27"/>
        <v>0</v>
      </c>
      <c r="AX108" s="231">
        <f t="shared" si="28"/>
        <v>0</v>
      </c>
      <c r="AY108" s="231">
        <f t="shared" si="29"/>
        <v>0</v>
      </c>
      <c r="AZ108" s="231">
        <f t="shared" si="30"/>
        <v>0</v>
      </c>
      <c r="BA108" s="231">
        <f t="shared" si="31"/>
        <v>0</v>
      </c>
      <c r="BB108" s="231">
        <f t="shared" si="32"/>
        <v>0</v>
      </c>
      <c r="BC108" s="231">
        <f t="shared" si="33"/>
        <v>0</v>
      </c>
      <c r="BD108" s="231">
        <f t="shared" si="34"/>
        <v>0</v>
      </c>
      <c r="BE108" s="232">
        <f t="shared" si="35"/>
        <v>0</v>
      </c>
      <c r="BF108" s="75">
        <v>39892</v>
      </c>
      <c r="BG108" s="258">
        <f t="shared" si="41"/>
        <v>0</v>
      </c>
      <c r="BH108" s="259">
        <f t="shared" si="42"/>
        <v>0</v>
      </c>
      <c r="BI108" s="259">
        <f t="shared" si="43"/>
        <v>0</v>
      </c>
      <c r="BJ108" s="259">
        <f t="shared" si="44"/>
        <v>0</v>
      </c>
      <c r="BK108" s="259">
        <f t="shared" si="45"/>
        <v>0</v>
      </c>
      <c r="BL108" s="259">
        <f t="shared" si="46"/>
        <v>0</v>
      </c>
      <c r="BM108" s="259">
        <f t="shared" si="47"/>
        <v>0</v>
      </c>
      <c r="BN108" s="259">
        <f t="shared" si="48"/>
        <v>0</v>
      </c>
      <c r="BO108" s="259">
        <f t="shared" si="49"/>
        <v>0</v>
      </c>
      <c r="BP108" s="259">
        <f t="shared" si="50"/>
        <v>0</v>
      </c>
      <c r="BQ108" s="259">
        <f t="shared" si="51"/>
        <v>0</v>
      </c>
      <c r="BR108" s="259">
        <f t="shared" si="52"/>
        <v>0</v>
      </c>
      <c r="BS108" s="259">
        <f t="shared" si="53"/>
        <v>0</v>
      </c>
      <c r="BT108" s="259">
        <f t="shared" si="54"/>
        <v>0</v>
      </c>
      <c r="BU108" s="259">
        <f t="shared" si="55"/>
        <v>0</v>
      </c>
      <c r="BV108" s="259">
        <f t="shared" si="56"/>
        <v>0</v>
      </c>
      <c r="BW108" s="260">
        <f t="shared" si="57"/>
        <v>0</v>
      </c>
    </row>
    <row r="109" spans="1:75">
      <c r="A109" s="75">
        <v>39923</v>
      </c>
      <c r="B109" s="75"/>
      <c r="C109" s="262">
        <f t="shared" ref="C109:S109" si="79">ROUND((C25-C26),2)</f>
        <v>0</v>
      </c>
      <c r="D109" s="263">
        <f t="shared" si="79"/>
        <v>0</v>
      </c>
      <c r="E109" s="263">
        <f t="shared" si="79"/>
        <v>0</v>
      </c>
      <c r="F109" s="685">
        <f t="shared" si="79"/>
        <v>0</v>
      </c>
      <c r="G109" s="685">
        <f t="shared" si="79"/>
        <v>0</v>
      </c>
      <c r="H109" s="263">
        <f t="shared" si="79"/>
        <v>0</v>
      </c>
      <c r="I109" s="263">
        <f t="shared" si="79"/>
        <v>0</v>
      </c>
      <c r="J109" s="263">
        <f t="shared" si="79"/>
        <v>0</v>
      </c>
      <c r="K109" s="685">
        <f t="shared" si="79"/>
        <v>0</v>
      </c>
      <c r="L109" s="685">
        <f t="shared" si="79"/>
        <v>0</v>
      </c>
      <c r="M109" s="685">
        <f t="shared" si="79"/>
        <v>0</v>
      </c>
      <c r="N109" s="685">
        <f t="shared" si="79"/>
        <v>0</v>
      </c>
      <c r="O109" s="685">
        <f t="shared" si="79"/>
        <v>0</v>
      </c>
      <c r="P109" s="685">
        <f t="shared" si="79"/>
        <v>0</v>
      </c>
      <c r="Q109" s="685">
        <f t="shared" si="79"/>
        <v>0</v>
      </c>
      <c r="R109" s="685">
        <f t="shared" si="79"/>
        <v>0</v>
      </c>
      <c r="S109" s="259">
        <f t="shared" si="79"/>
        <v>0</v>
      </c>
      <c r="T109" s="246">
        <f t="shared" si="39"/>
        <v>0</v>
      </c>
      <c r="U109" s="75">
        <v>39923</v>
      </c>
      <c r="V109" s="257"/>
      <c r="W109" s="231"/>
      <c r="X109" s="231"/>
      <c r="Y109" s="231"/>
      <c r="Z109" s="231"/>
      <c r="AA109" s="231"/>
      <c r="AB109" s="231"/>
      <c r="AC109" s="231"/>
      <c r="AD109" s="231"/>
      <c r="AE109" s="231"/>
      <c r="AF109" s="231"/>
      <c r="AG109" s="231"/>
      <c r="AH109" s="231"/>
      <c r="AI109" s="231"/>
      <c r="AJ109" s="231"/>
      <c r="AK109" s="231"/>
      <c r="AL109" s="231"/>
      <c r="AM109" s="232"/>
      <c r="AN109" s="75">
        <v>39923</v>
      </c>
      <c r="AO109" s="233">
        <f t="shared" si="19"/>
        <v>0</v>
      </c>
      <c r="AP109" s="231">
        <f t="shared" si="20"/>
        <v>0</v>
      </c>
      <c r="AQ109" s="231">
        <f t="shared" si="21"/>
        <v>0</v>
      </c>
      <c r="AR109" s="231">
        <f t="shared" si="22"/>
        <v>0</v>
      </c>
      <c r="AS109" s="231">
        <f t="shared" si="23"/>
        <v>0</v>
      </c>
      <c r="AT109" s="231">
        <f t="shared" si="24"/>
        <v>0</v>
      </c>
      <c r="AU109" s="231">
        <f t="shared" si="25"/>
        <v>0</v>
      </c>
      <c r="AV109" s="231">
        <f t="shared" si="26"/>
        <v>0</v>
      </c>
      <c r="AW109" s="231">
        <f t="shared" si="27"/>
        <v>0</v>
      </c>
      <c r="AX109" s="231">
        <f t="shared" si="28"/>
        <v>0</v>
      </c>
      <c r="AY109" s="231">
        <f t="shared" si="29"/>
        <v>0</v>
      </c>
      <c r="AZ109" s="231">
        <f t="shared" si="30"/>
        <v>0</v>
      </c>
      <c r="BA109" s="231">
        <f t="shared" si="31"/>
        <v>0</v>
      </c>
      <c r="BB109" s="231">
        <f t="shared" si="32"/>
        <v>0</v>
      </c>
      <c r="BC109" s="231">
        <f t="shared" si="33"/>
        <v>0</v>
      </c>
      <c r="BD109" s="231">
        <f t="shared" si="34"/>
        <v>0</v>
      </c>
      <c r="BE109" s="232">
        <f t="shared" si="35"/>
        <v>0</v>
      </c>
      <c r="BF109" s="75">
        <v>39923</v>
      </c>
      <c r="BG109" s="258">
        <f t="shared" si="41"/>
        <v>0</v>
      </c>
      <c r="BH109" s="259">
        <f t="shared" si="42"/>
        <v>0</v>
      </c>
      <c r="BI109" s="259">
        <f t="shared" si="43"/>
        <v>0</v>
      </c>
      <c r="BJ109" s="259">
        <f t="shared" si="44"/>
        <v>0</v>
      </c>
      <c r="BK109" s="259">
        <f t="shared" si="45"/>
        <v>0</v>
      </c>
      <c r="BL109" s="259">
        <f t="shared" si="46"/>
        <v>0</v>
      </c>
      <c r="BM109" s="259">
        <f t="shared" si="47"/>
        <v>0</v>
      </c>
      <c r="BN109" s="259">
        <f t="shared" si="48"/>
        <v>0</v>
      </c>
      <c r="BO109" s="259">
        <f t="shared" si="49"/>
        <v>0</v>
      </c>
      <c r="BP109" s="259">
        <f t="shared" si="50"/>
        <v>0</v>
      </c>
      <c r="BQ109" s="259">
        <f t="shared" si="51"/>
        <v>0</v>
      </c>
      <c r="BR109" s="259">
        <f t="shared" si="52"/>
        <v>0</v>
      </c>
      <c r="BS109" s="259">
        <f t="shared" si="53"/>
        <v>0</v>
      </c>
      <c r="BT109" s="259">
        <f t="shared" si="54"/>
        <v>0</v>
      </c>
      <c r="BU109" s="259">
        <f t="shared" si="55"/>
        <v>0</v>
      </c>
      <c r="BV109" s="259">
        <f t="shared" si="56"/>
        <v>0</v>
      </c>
      <c r="BW109" s="260">
        <f t="shared" si="57"/>
        <v>0</v>
      </c>
    </row>
    <row r="110" spans="1:75">
      <c r="A110" s="75">
        <v>39953</v>
      </c>
      <c r="B110" s="75"/>
      <c r="C110" s="262">
        <f t="shared" ref="C110:S110" si="80">ROUND((C26-C27),2)</f>
        <v>0</v>
      </c>
      <c r="D110" s="263">
        <f t="shared" si="80"/>
        <v>0</v>
      </c>
      <c r="E110" s="263">
        <f t="shared" si="80"/>
        <v>0</v>
      </c>
      <c r="F110" s="685">
        <f t="shared" si="80"/>
        <v>331398350.5</v>
      </c>
      <c r="G110" s="685">
        <f t="shared" si="80"/>
        <v>91369823.680000007</v>
      </c>
      <c r="H110" s="263">
        <f t="shared" si="80"/>
        <v>0</v>
      </c>
      <c r="I110" s="263">
        <f t="shared" si="80"/>
        <v>0</v>
      </c>
      <c r="J110" s="263">
        <f t="shared" si="80"/>
        <v>0</v>
      </c>
      <c r="K110" s="685">
        <f t="shared" si="80"/>
        <v>0</v>
      </c>
      <c r="L110" s="685">
        <f t="shared" si="80"/>
        <v>0</v>
      </c>
      <c r="M110" s="685">
        <f t="shared" si="80"/>
        <v>0</v>
      </c>
      <c r="N110" s="685">
        <f t="shared" si="80"/>
        <v>0</v>
      </c>
      <c r="O110" s="685">
        <f t="shared" si="80"/>
        <v>0</v>
      </c>
      <c r="P110" s="685">
        <f t="shared" si="80"/>
        <v>0</v>
      </c>
      <c r="Q110" s="685">
        <f t="shared" si="80"/>
        <v>0</v>
      </c>
      <c r="R110" s="685">
        <f t="shared" si="80"/>
        <v>0</v>
      </c>
      <c r="S110" s="259">
        <f t="shared" si="80"/>
        <v>0</v>
      </c>
      <c r="T110" s="246">
        <f t="shared" si="39"/>
        <v>422768174.18000001</v>
      </c>
      <c r="U110" s="75">
        <v>39953</v>
      </c>
      <c r="V110" s="257"/>
      <c r="W110" s="231"/>
      <c r="X110" s="231"/>
      <c r="Y110" s="685">
        <v>331398350.5</v>
      </c>
      <c r="Z110" s="685">
        <v>91369823.680000007</v>
      </c>
      <c r="AA110" s="231"/>
      <c r="AB110" s="231"/>
      <c r="AC110" s="231"/>
      <c r="AD110" s="231"/>
      <c r="AE110" s="231"/>
      <c r="AF110" s="231"/>
      <c r="AG110" s="231"/>
      <c r="AH110" s="231"/>
      <c r="AI110" s="231"/>
      <c r="AJ110" s="231"/>
      <c r="AK110" s="231"/>
      <c r="AL110" s="231"/>
      <c r="AM110" s="232"/>
      <c r="AN110" s="75">
        <v>39953</v>
      </c>
      <c r="AO110" s="233">
        <f t="shared" si="19"/>
        <v>0</v>
      </c>
      <c r="AP110" s="231">
        <f t="shared" si="20"/>
        <v>0</v>
      </c>
      <c r="AQ110" s="231">
        <f t="shared" si="21"/>
        <v>0</v>
      </c>
      <c r="AR110" s="208">
        <f>F110-Y110</f>
        <v>0</v>
      </c>
      <c r="AS110" s="208">
        <f>G110-Z110</f>
        <v>0</v>
      </c>
      <c r="AT110" s="231">
        <f t="shared" si="24"/>
        <v>0</v>
      </c>
      <c r="AU110" s="231">
        <f t="shared" si="25"/>
        <v>0</v>
      </c>
      <c r="AV110" s="231">
        <f t="shared" si="26"/>
        <v>0</v>
      </c>
      <c r="AW110" s="231">
        <f t="shared" si="27"/>
        <v>0</v>
      </c>
      <c r="AX110" s="231">
        <f t="shared" si="28"/>
        <v>0</v>
      </c>
      <c r="AY110" s="231">
        <f t="shared" si="29"/>
        <v>0</v>
      </c>
      <c r="AZ110" s="231">
        <f t="shared" si="30"/>
        <v>0</v>
      </c>
      <c r="BA110" s="231">
        <f t="shared" si="31"/>
        <v>0</v>
      </c>
      <c r="BB110" s="231">
        <f t="shared" si="32"/>
        <v>0</v>
      </c>
      <c r="BC110" s="231">
        <f t="shared" si="33"/>
        <v>0</v>
      </c>
      <c r="BD110" s="231">
        <f t="shared" si="34"/>
        <v>0</v>
      </c>
      <c r="BE110" s="232">
        <f t="shared" si="35"/>
        <v>0</v>
      </c>
      <c r="BF110" s="75">
        <v>39953</v>
      </c>
      <c r="BG110" s="258">
        <f t="shared" si="41"/>
        <v>0</v>
      </c>
      <c r="BH110" s="259">
        <f t="shared" si="42"/>
        <v>0</v>
      </c>
      <c r="BI110" s="259">
        <f t="shared" si="43"/>
        <v>0</v>
      </c>
      <c r="BJ110" s="259">
        <f>+BJ109+AR110</f>
        <v>0</v>
      </c>
      <c r="BK110" s="259">
        <f t="shared" si="45"/>
        <v>0</v>
      </c>
      <c r="BL110" s="259">
        <f t="shared" si="46"/>
        <v>0</v>
      </c>
      <c r="BM110" s="259">
        <f t="shared" si="47"/>
        <v>0</v>
      </c>
      <c r="BN110" s="259">
        <f t="shared" si="48"/>
        <v>0</v>
      </c>
      <c r="BO110" s="259">
        <f t="shared" si="49"/>
        <v>0</v>
      </c>
      <c r="BP110" s="259">
        <f t="shared" si="50"/>
        <v>0</v>
      </c>
      <c r="BQ110" s="259">
        <f t="shared" si="51"/>
        <v>0</v>
      </c>
      <c r="BR110" s="259">
        <f t="shared" si="52"/>
        <v>0</v>
      </c>
      <c r="BS110" s="259">
        <f t="shared" si="53"/>
        <v>0</v>
      </c>
      <c r="BT110" s="259">
        <f t="shared" si="54"/>
        <v>0</v>
      </c>
      <c r="BU110" s="259">
        <f t="shared" si="55"/>
        <v>0</v>
      </c>
      <c r="BV110" s="259">
        <f t="shared" si="56"/>
        <v>0</v>
      </c>
      <c r="BW110" s="260">
        <f t="shared" si="57"/>
        <v>0</v>
      </c>
    </row>
    <row r="111" spans="1:75">
      <c r="A111" s="75">
        <v>39984</v>
      </c>
      <c r="B111" s="75"/>
      <c r="C111" s="262">
        <f t="shared" ref="C111:S111" si="81">ROUND((C27-C28),2)</f>
        <v>0</v>
      </c>
      <c r="D111" s="263">
        <f t="shared" si="81"/>
        <v>0</v>
      </c>
      <c r="E111" s="263">
        <f t="shared" si="81"/>
        <v>0</v>
      </c>
      <c r="F111" s="685">
        <f t="shared" si="81"/>
        <v>0</v>
      </c>
      <c r="G111" s="685">
        <f t="shared" si="81"/>
        <v>0</v>
      </c>
      <c r="H111" s="263">
        <f t="shared" si="81"/>
        <v>0</v>
      </c>
      <c r="I111" s="263">
        <f t="shared" si="81"/>
        <v>0</v>
      </c>
      <c r="J111" s="263">
        <f t="shared" si="81"/>
        <v>0</v>
      </c>
      <c r="K111" s="685">
        <f t="shared" si="81"/>
        <v>0</v>
      </c>
      <c r="L111" s="685">
        <f t="shared" si="81"/>
        <v>0</v>
      </c>
      <c r="M111" s="685">
        <f t="shared" si="81"/>
        <v>0</v>
      </c>
      <c r="N111" s="685">
        <f t="shared" si="81"/>
        <v>0</v>
      </c>
      <c r="O111" s="685">
        <f t="shared" si="81"/>
        <v>0</v>
      </c>
      <c r="P111" s="685">
        <f t="shared" si="81"/>
        <v>0</v>
      </c>
      <c r="Q111" s="685">
        <f t="shared" si="81"/>
        <v>0</v>
      </c>
      <c r="R111" s="685">
        <f t="shared" si="81"/>
        <v>0</v>
      </c>
      <c r="S111" s="259">
        <f t="shared" si="81"/>
        <v>0</v>
      </c>
      <c r="T111" s="246">
        <f t="shared" si="39"/>
        <v>0</v>
      </c>
      <c r="U111" s="75">
        <v>39984</v>
      </c>
      <c r="V111" s="257"/>
      <c r="W111" s="231"/>
      <c r="X111" s="231"/>
      <c r="Y111" s="259"/>
      <c r="Z111" s="259"/>
      <c r="AA111" s="231"/>
      <c r="AB111" s="231"/>
      <c r="AC111" s="231"/>
      <c r="AD111" s="231"/>
      <c r="AE111" s="231"/>
      <c r="AF111" s="231"/>
      <c r="AG111" s="231"/>
      <c r="AH111" s="231"/>
      <c r="AI111" s="231"/>
      <c r="AJ111" s="231"/>
      <c r="AK111" s="231"/>
      <c r="AL111" s="231"/>
      <c r="AM111" s="232"/>
      <c r="AN111" s="75">
        <v>39984</v>
      </c>
      <c r="AO111" s="233">
        <f t="shared" si="19"/>
        <v>0</v>
      </c>
      <c r="AP111" s="231">
        <f t="shared" si="20"/>
        <v>0</v>
      </c>
      <c r="AQ111" s="231">
        <f t="shared" si="21"/>
        <v>0</v>
      </c>
      <c r="AR111" s="231">
        <f t="shared" si="22"/>
        <v>0</v>
      </c>
      <c r="AS111" s="231">
        <f t="shared" si="23"/>
        <v>0</v>
      </c>
      <c r="AT111" s="231">
        <f t="shared" si="24"/>
        <v>0</v>
      </c>
      <c r="AU111" s="231">
        <f t="shared" si="25"/>
        <v>0</v>
      </c>
      <c r="AV111" s="231">
        <f t="shared" si="26"/>
        <v>0</v>
      </c>
      <c r="AW111" s="231">
        <f t="shared" si="27"/>
        <v>0</v>
      </c>
      <c r="AX111" s="231">
        <f t="shared" si="28"/>
        <v>0</v>
      </c>
      <c r="AY111" s="231">
        <f t="shared" si="29"/>
        <v>0</v>
      </c>
      <c r="AZ111" s="231">
        <f t="shared" si="30"/>
        <v>0</v>
      </c>
      <c r="BA111" s="231">
        <f t="shared" si="31"/>
        <v>0</v>
      </c>
      <c r="BB111" s="231">
        <f t="shared" si="32"/>
        <v>0</v>
      </c>
      <c r="BC111" s="231">
        <f t="shared" si="33"/>
        <v>0</v>
      </c>
      <c r="BD111" s="231">
        <f t="shared" si="34"/>
        <v>0</v>
      </c>
      <c r="BE111" s="232">
        <f t="shared" si="35"/>
        <v>0</v>
      </c>
      <c r="BF111" s="75">
        <v>39984</v>
      </c>
      <c r="BG111" s="258">
        <f t="shared" si="41"/>
        <v>0</v>
      </c>
      <c r="BH111" s="259">
        <f t="shared" si="42"/>
        <v>0</v>
      </c>
      <c r="BI111" s="259">
        <f t="shared" si="43"/>
        <v>0</v>
      </c>
      <c r="BJ111" s="259">
        <f t="shared" si="44"/>
        <v>0</v>
      </c>
      <c r="BK111" s="259">
        <f t="shared" si="45"/>
        <v>0</v>
      </c>
      <c r="BL111" s="259">
        <f t="shared" si="46"/>
        <v>0</v>
      </c>
      <c r="BM111" s="259">
        <f t="shared" si="47"/>
        <v>0</v>
      </c>
      <c r="BN111" s="259">
        <f t="shared" si="48"/>
        <v>0</v>
      </c>
      <c r="BO111" s="259">
        <f t="shared" si="49"/>
        <v>0</v>
      </c>
      <c r="BP111" s="259">
        <f t="shared" si="50"/>
        <v>0</v>
      </c>
      <c r="BQ111" s="259">
        <f t="shared" si="51"/>
        <v>0</v>
      </c>
      <c r="BR111" s="259">
        <f t="shared" si="52"/>
        <v>0</v>
      </c>
      <c r="BS111" s="259">
        <f t="shared" si="53"/>
        <v>0</v>
      </c>
      <c r="BT111" s="259">
        <f t="shared" si="54"/>
        <v>0</v>
      </c>
      <c r="BU111" s="259">
        <f t="shared" si="55"/>
        <v>0</v>
      </c>
      <c r="BV111" s="259">
        <f t="shared" si="56"/>
        <v>0</v>
      </c>
      <c r="BW111" s="260">
        <f t="shared" si="57"/>
        <v>0</v>
      </c>
    </row>
    <row r="112" spans="1:75">
      <c r="A112" s="75">
        <v>40014</v>
      </c>
      <c r="B112" s="75"/>
      <c r="C112" s="262">
        <f t="shared" ref="C112:S112" si="82">ROUND((C28-C29),2)</f>
        <v>0</v>
      </c>
      <c r="D112" s="263">
        <f t="shared" si="82"/>
        <v>0</v>
      </c>
      <c r="E112" s="263">
        <f t="shared" si="82"/>
        <v>0</v>
      </c>
      <c r="F112" s="685">
        <f t="shared" si="82"/>
        <v>0</v>
      </c>
      <c r="G112" s="685">
        <f t="shared" si="82"/>
        <v>0</v>
      </c>
      <c r="H112" s="263">
        <f t="shared" si="82"/>
        <v>0</v>
      </c>
      <c r="I112" s="263">
        <f t="shared" si="82"/>
        <v>0</v>
      </c>
      <c r="J112" s="263">
        <f t="shared" si="82"/>
        <v>0</v>
      </c>
      <c r="K112" s="685">
        <f t="shared" si="82"/>
        <v>0</v>
      </c>
      <c r="L112" s="685">
        <f t="shared" si="82"/>
        <v>0</v>
      </c>
      <c r="M112" s="685">
        <f t="shared" si="82"/>
        <v>0</v>
      </c>
      <c r="N112" s="685">
        <f t="shared" si="82"/>
        <v>0</v>
      </c>
      <c r="O112" s="685">
        <f t="shared" si="82"/>
        <v>0</v>
      </c>
      <c r="P112" s="685">
        <f t="shared" si="82"/>
        <v>0</v>
      </c>
      <c r="Q112" s="685">
        <f t="shared" si="82"/>
        <v>0</v>
      </c>
      <c r="R112" s="685">
        <f t="shared" si="82"/>
        <v>0</v>
      </c>
      <c r="S112" s="259">
        <f t="shared" si="82"/>
        <v>0</v>
      </c>
      <c r="T112" s="246">
        <f t="shared" si="39"/>
        <v>0</v>
      </c>
      <c r="U112" s="75">
        <v>40014</v>
      </c>
      <c r="V112" s="257"/>
      <c r="W112" s="231"/>
      <c r="X112" s="231"/>
      <c r="Y112" s="259"/>
      <c r="Z112" s="259"/>
      <c r="AA112" s="231"/>
      <c r="AB112" s="231"/>
      <c r="AC112" s="231"/>
      <c r="AD112" s="231"/>
      <c r="AE112" s="231"/>
      <c r="AF112" s="231"/>
      <c r="AG112" s="231"/>
      <c r="AH112" s="231"/>
      <c r="AI112" s="231"/>
      <c r="AJ112" s="231"/>
      <c r="AK112" s="231"/>
      <c r="AL112" s="231"/>
      <c r="AM112" s="232"/>
      <c r="AN112" s="75">
        <v>40014</v>
      </c>
      <c r="AO112" s="233">
        <f t="shared" si="19"/>
        <v>0</v>
      </c>
      <c r="AP112" s="231">
        <f t="shared" si="20"/>
        <v>0</v>
      </c>
      <c r="AQ112" s="231">
        <f t="shared" si="21"/>
        <v>0</v>
      </c>
      <c r="AR112" s="231">
        <f t="shared" si="22"/>
        <v>0</v>
      </c>
      <c r="AS112" s="231">
        <f t="shared" si="23"/>
        <v>0</v>
      </c>
      <c r="AT112" s="231">
        <f t="shared" si="24"/>
        <v>0</v>
      </c>
      <c r="AU112" s="231">
        <f t="shared" si="25"/>
        <v>0</v>
      </c>
      <c r="AV112" s="231">
        <f t="shared" si="26"/>
        <v>0</v>
      </c>
      <c r="AW112" s="231">
        <f t="shared" si="27"/>
        <v>0</v>
      </c>
      <c r="AX112" s="231">
        <f t="shared" si="28"/>
        <v>0</v>
      </c>
      <c r="AY112" s="231">
        <f t="shared" si="29"/>
        <v>0</v>
      </c>
      <c r="AZ112" s="231">
        <f t="shared" si="30"/>
        <v>0</v>
      </c>
      <c r="BA112" s="231">
        <f t="shared" si="31"/>
        <v>0</v>
      </c>
      <c r="BB112" s="231">
        <f t="shared" si="32"/>
        <v>0</v>
      </c>
      <c r="BC112" s="231">
        <f t="shared" si="33"/>
        <v>0</v>
      </c>
      <c r="BD112" s="231">
        <f t="shared" si="34"/>
        <v>0</v>
      </c>
      <c r="BE112" s="232">
        <f t="shared" si="35"/>
        <v>0</v>
      </c>
      <c r="BF112" s="75">
        <v>40014</v>
      </c>
      <c r="BG112" s="258">
        <f>+BG111+AO112</f>
        <v>0</v>
      </c>
      <c r="BH112" s="259">
        <f t="shared" si="42"/>
        <v>0</v>
      </c>
      <c r="BI112" s="259">
        <f t="shared" si="43"/>
        <v>0</v>
      </c>
      <c r="BJ112" s="259">
        <f t="shared" si="44"/>
        <v>0</v>
      </c>
      <c r="BK112" s="259">
        <f t="shared" si="45"/>
        <v>0</v>
      </c>
      <c r="BL112" s="259">
        <f t="shared" si="46"/>
        <v>0</v>
      </c>
      <c r="BM112" s="259">
        <f t="shared" si="47"/>
        <v>0</v>
      </c>
      <c r="BN112" s="259">
        <f t="shared" si="48"/>
        <v>0</v>
      </c>
      <c r="BO112" s="259">
        <f t="shared" si="49"/>
        <v>0</v>
      </c>
      <c r="BP112" s="259">
        <f t="shared" si="50"/>
        <v>0</v>
      </c>
      <c r="BQ112" s="259">
        <f t="shared" si="51"/>
        <v>0</v>
      </c>
      <c r="BR112" s="259">
        <f t="shared" si="52"/>
        <v>0</v>
      </c>
      <c r="BS112" s="259">
        <f t="shared" si="53"/>
        <v>0</v>
      </c>
      <c r="BT112" s="259">
        <f t="shared" si="54"/>
        <v>0</v>
      </c>
      <c r="BU112" s="259">
        <f t="shared" si="55"/>
        <v>0</v>
      </c>
      <c r="BV112" s="259">
        <f t="shared" si="56"/>
        <v>0</v>
      </c>
      <c r="BW112" s="260">
        <f t="shared" si="57"/>
        <v>0</v>
      </c>
    </row>
    <row r="113" spans="1:75" s="640" customFormat="1">
      <c r="A113" s="205">
        <v>40045</v>
      </c>
      <c r="B113" s="205"/>
      <c r="C113" s="256">
        <f t="shared" ref="C113:S113" si="83">ROUND((C29-C30),2)</f>
        <v>0</v>
      </c>
      <c r="D113" s="230">
        <f t="shared" si="83"/>
        <v>0</v>
      </c>
      <c r="E113" s="230">
        <f t="shared" si="83"/>
        <v>0</v>
      </c>
      <c r="F113" s="364">
        <f t="shared" si="83"/>
        <v>313417209.23000002</v>
      </c>
      <c r="G113" s="364">
        <f t="shared" si="83"/>
        <v>86412244.069999993</v>
      </c>
      <c r="H113" s="230">
        <f t="shared" si="83"/>
        <v>0</v>
      </c>
      <c r="I113" s="230">
        <f t="shared" si="83"/>
        <v>0</v>
      </c>
      <c r="J113" s="230">
        <f t="shared" si="83"/>
        <v>0</v>
      </c>
      <c r="K113" s="364">
        <f t="shared" si="83"/>
        <v>0</v>
      </c>
      <c r="L113" s="364">
        <f t="shared" si="83"/>
        <v>0</v>
      </c>
      <c r="M113" s="364">
        <f t="shared" si="83"/>
        <v>0</v>
      </c>
      <c r="N113" s="364">
        <f t="shared" si="83"/>
        <v>0</v>
      </c>
      <c r="O113" s="364">
        <f t="shared" si="83"/>
        <v>0</v>
      </c>
      <c r="P113" s="364">
        <f t="shared" si="83"/>
        <v>0</v>
      </c>
      <c r="Q113" s="364">
        <f t="shared" si="83"/>
        <v>0</v>
      </c>
      <c r="R113" s="364">
        <f t="shared" si="83"/>
        <v>0</v>
      </c>
      <c r="S113" s="638">
        <f t="shared" si="83"/>
        <v>0</v>
      </c>
      <c r="T113" s="634">
        <f t="shared" si="39"/>
        <v>399829453.30000001</v>
      </c>
      <c r="U113" s="205">
        <v>40045</v>
      </c>
      <c r="V113" s="225"/>
      <c r="W113" s="635"/>
      <c r="X113" s="635"/>
      <c r="Y113" s="364">
        <v>313417209.23000002</v>
      </c>
      <c r="Z113" s="364">
        <v>86412244.069999993</v>
      </c>
      <c r="AA113" s="635"/>
      <c r="AB113" s="635"/>
      <c r="AC113" s="635"/>
      <c r="AD113" s="635"/>
      <c r="AE113" s="635"/>
      <c r="AF113" s="635"/>
      <c r="AG113" s="635"/>
      <c r="AH113" s="635"/>
      <c r="AI113" s="635"/>
      <c r="AJ113" s="635"/>
      <c r="AK113" s="635"/>
      <c r="AL113" s="635"/>
      <c r="AM113" s="636"/>
      <c r="AN113" s="205">
        <v>40045</v>
      </c>
      <c r="AO113" s="637">
        <f t="shared" si="19"/>
        <v>0</v>
      </c>
      <c r="AP113" s="635">
        <f t="shared" si="20"/>
        <v>0</v>
      </c>
      <c r="AQ113" s="635">
        <f t="shared" si="21"/>
        <v>0</v>
      </c>
      <c r="AR113" s="633">
        <f>F113-Y113</f>
        <v>0</v>
      </c>
      <c r="AS113" s="633">
        <f>G113-Z113</f>
        <v>0</v>
      </c>
      <c r="AT113" s="635">
        <f t="shared" si="24"/>
        <v>0</v>
      </c>
      <c r="AU113" s="635">
        <f t="shared" si="25"/>
        <v>0</v>
      </c>
      <c r="AV113" s="635">
        <f t="shared" si="26"/>
        <v>0</v>
      </c>
      <c r="AW113" s="635">
        <f t="shared" si="27"/>
        <v>0</v>
      </c>
      <c r="AX113" s="635">
        <f t="shared" si="28"/>
        <v>0</v>
      </c>
      <c r="AY113" s="635">
        <f t="shared" si="29"/>
        <v>0</v>
      </c>
      <c r="AZ113" s="635">
        <f t="shared" si="30"/>
        <v>0</v>
      </c>
      <c r="BA113" s="635">
        <f t="shared" si="31"/>
        <v>0</v>
      </c>
      <c r="BB113" s="635">
        <f t="shared" si="32"/>
        <v>0</v>
      </c>
      <c r="BC113" s="635">
        <f t="shared" si="33"/>
        <v>0</v>
      </c>
      <c r="BD113" s="635">
        <f t="shared" si="34"/>
        <v>0</v>
      </c>
      <c r="BE113" s="636">
        <f t="shared" si="35"/>
        <v>0</v>
      </c>
      <c r="BF113" s="205">
        <v>40045</v>
      </c>
      <c r="BG113" s="372">
        <f t="shared" si="41"/>
        <v>0</v>
      </c>
      <c r="BH113" s="638">
        <f t="shared" si="42"/>
        <v>0</v>
      </c>
      <c r="BI113" s="638">
        <f t="shared" si="43"/>
        <v>0</v>
      </c>
      <c r="BJ113" s="638">
        <f t="shared" si="44"/>
        <v>0</v>
      </c>
      <c r="BK113" s="638">
        <f t="shared" si="45"/>
        <v>0</v>
      </c>
      <c r="BL113" s="638">
        <f t="shared" si="46"/>
        <v>0</v>
      </c>
      <c r="BM113" s="638">
        <f t="shared" si="47"/>
        <v>0</v>
      </c>
      <c r="BN113" s="638">
        <f t="shared" si="48"/>
        <v>0</v>
      </c>
      <c r="BO113" s="638">
        <f t="shared" si="49"/>
        <v>0</v>
      </c>
      <c r="BP113" s="638">
        <f t="shared" si="50"/>
        <v>0</v>
      </c>
      <c r="BQ113" s="638">
        <f t="shared" si="51"/>
        <v>0</v>
      </c>
      <c r="BR113" s="638">
        <f t="shared" si="52"/>
        <v>0</v>
      </c>
      <c r="BS113" s="638">
        <f t="shared" si="53"/>
        <v>0</v>
      </c>
      <c r="BT113" s="638">
        <f t="shared" si="54"/>
        <v>0</v>
      </c>
      <c r="BU113" s="638">
        <f t="shared" si="55"/>
        <v>0</v>
      </c>
      <c r="BV113" s="638">
        <f t="shared" si="56"/>
        <v>0</v>
      </c>
      <c r="BW113" s="639">
        <f t="shared" si="57"/>
        <v>0</v>
      </c>
    </row>
    <row r="114" spans="1:75">
      <c r="A114" s="75">
        <v>40076</v>
      </c>
      <c r="B114" s="75"/>
      <c r="C114" s="262">
        <f t="shared" ref="C114:S114" si="84">ROUND((C30-C31),2)</f>
        <v>0</v>
      </c>
      <c r="D114" s="263">
        <f t="shared" si="84"/>
        <v>0</v>
      </c>
      <c r="E114" s="263">
        <f t="shared" si="84"/>
        <v>0</v>
      </c>
      <c r="F114" s="685">
        <f t="shared" si="84"/>
        <v>0</v>
      </c>
      <c r="G114" s="685">
        <f t="shared" si="84"/>
        <v>0</v>
      </c>
      <c r="H114" s="263">
        <f t="shared" si="84"/>
        <v>0</v>
      </c>
      <c r="I114" s="263">
        <f t="shared" si="84"/>
        <v>0</v>
      </c>
      <c r="J114" s="263">
        <f t="shared" si="84"/>
        <v>0</v>
      </c>
      <c r="K114" s="685">
        <f t="shared" si="84"/>
        <v>0</v>
      </c>
      <c r="L114" s="685">
        <f t="shared" si="84"/>
        <v>0</v>
      </c>
      <c r="M114" s="685">
        <f t="shared" si="84"/>
        <v>0</v>
      </c>
      <c r="N114" s="685">
        <f t="shared" si="84"/>
        <v>0</v>
      </c>
      <c r="O114" s="685">
        <f t="shared" si="84"/>
        <v>0</v>
      </c>
      <c r="P114" s="685">
        <f t="shared" si="84"/>
        <v>0</v>
      </c>
      <c r="Q114" s="685">
        <f t="shared" si="84"/>
        <v>0</v>
      </c>
      <c r="R114" s="685">
        <f t="shared" si="84"/>
        <v>0</v>
      </c>
      <c r="S114" s="259">
        <f t="shared" si="84"/>
        <v>0</v>
      </c>
      <c r="T114" s="246">
        <f t="shared" si="39"/>
        <v>0</v>
      </c>
      <c r="U114" s="75">
        <v>40076</v>
      </c>
      <c r="V114" s="257"/>
      <c r="W114" s="231"/>
      <c r="X114" s="231"/>
      <c r="Y114" s="259"/>
      <c r="Z114" s="259"/>
      <c r="AA114" s="231"/>
      <c r="AB114" s="231"/>
      <c r="AC114" s="231"/>
      <c r="AD114" s="231"/>
      <c r="AE114" s="231"/>
      <c r="AF114" s="231"/>
      <c r="AG114" s="231"/>
      <c r="AH114" s="231"/>
      <c r="AI114" s="231"/>
      <c r="AJ114" s="231"/>
      <c r="AK114" s="231"/>
      <c r="AL114" s="231"/>
      <c r="AM114" s="232"/>
      <c r="AN114" s="75">
        <v>40076</v>
      </c>
      <c r="AO114" s="233">
        <f t="shared" si="19"/>
        <v>0</v>
      </c>
      <c r="AP114" s="231">
        <f t="shared" si="20"/>
        <v>0</v>
      </c>
      <c r="AQ114" s="231">
        <f t="shared" si="21"/>
        <v>0</v>
      </c>
      <c r="AR114" s="231">
        <f t="shared" si="22"/>
        <v>0</v>
      </c>
      <c r="AS114" s="231">
        <f t="shared" si="23"/>
        <v>0</v>
      </c>
      <c r="AT114" s="231">
        <f t="shared" si="24"/>
        <v>0</v>
      </c>
      <c r="AU114" s="231">
        <f t="shared" si="25"/>
        <v>0</v>
      </c>
      <c r="AV114" s="231">
        <f t="shared" si="26"/>
        <v>0</v>
      </c>
      <c r="AW114" s="231">
        <f t="shared" si="27"/>
        <v>0</v>
      </c>
      <c r="AX114" s="231">
        <f t="shared" si="28"/>
        <v>0</v>
      </c>
      <c r="AY114" s="231">
        <f t="shared" si="29"/>
        <v>0</v>
      </c>
      <c r="AZ114" s="231">
        <f t="shared" si="30"/>
        <v>0</v>
      </c>
      <c r="BA114" s="231">
        <f t="shared" si="31"/>
        <v>0</v>
      </c>
      <c r="BB114" s="231">
        <f t="shared" si="32"/>
        <v>0</v>
      </c>
      <c r="BC114" s="231">
        <f t="shared" si="33"/>
        <v>0</v>
      </c>
      <c r="BD114" s="231">
        <f t="shared" si="34"/>
        <v>0</v>
      </c>
      <c r="BE114" s="232">
        <f t="shared" si="35"/>
        <v>0</v>
      </c>
      <c r="BF114" s="75">
        <v>40076</v>
      </c>
      <c r="BG114" s="258">
        <f t="shared" si="41"/>
        <v>0</v>
      </c>
      <c r="BH114" s="259">
        <f t="shared" si="42"/>
        <v>0</v>
      </c>
      <c r="BI114" s="259">
        <f t="shared" si="43"/>
        <v>0</v>
      </c>
      <c r="BJ114" s="259">
        <f t="shared" si="44"/>
        <v>0</v>
      </c>
      <c r="BK114" s="259">
        <f t="shared" si="45"/>
        <v>0</v>
      </c>
      <c r="BL114" s="259">
        <f t="shared" si="46"/>
        <v>0</v>
      </c>
      <c r="BM114" s="259">
        <f t="shared" si="47"/>
        <v>0</v>
      </c>
      <c r="BN114" s="259">
        <f t="shared" si="48"/>
        <v>0</v>
      </c>
      <c r="BO114" s="259">
        <f t="shared" si="49"/>
        <v>0</v>
      </c>
      <c r="BP114" s="259">
        <f t="shared" si="50"/>
        <v>0</v>
      </c>
      <c r="BQ114" s="259">
        <f t="shared" si="51"/>
        <v>0</v>
      </c>
      <c r="BR114" s="259">
        <f t="shared" si="52"/>
        <v>0</v>
      </c>
      <c r="BS114" s="259">
        <f t="shared" si="53"/>
        <v>0</v>
      </c>
      <c r="BT114" s="259">
        <f t="shared" si="54"/>
        <v>0</v>
      </c>
      <c r="BU114" s="259">
        <f t="shared" si="55"/>
        <v>0</v>
      </c>
      <c r="BV114" s="259">
        <f t="shared" si="56"/>
        <v>0</v>
      </c>
      <c r="BW114" s="260">
        <f t="shared" si="57"/>
        <v>0</v>
      </c>
    </row>
    <row r="115" spans="1:75">
      <c r="A115" s="75">
        <v>40106</v>
      </c>
      <c r="B115" s="75"/>
      <c r="C115" s="262">
        <f t="shared" ref="C115:S115" si="85">ROUND((C31-C32),2)</f>
        <v>0</v>
      </c>
      <c r="D115" s="263">
        <f t="shared" si="85"/>
        <v>0</v>
      </c>
      <c r="E115" s="263">
        <f t="shared" si="85"/>
        <v>0</v>
      </c>
      <c r="F115" s="685">
        <f t="shared" si="85"/>
        <v>0</v>
      </c>
      <c r="G115" s="685">
        <f t="shared" si="85"/>
        <v>0</v>
      </c>
      <c r="H115" s="263">
        <f t="shared" si="85"/>
        <v>0</v>
      </c>
      <c r="I115" s="263">
        <f t="shared" si="85"/>
        <v>0</v>
      </c>
      <c r="J115" s="263">
        <f t="shared" si="85"/>
        <v>0</v>
      </c>
      <c r="K115" s="685">
        <f t="shared" si="85"/>
        <v>0</v>
      </c>
      <c r="L115" s="685">
        <f t="shared" si="85"/>
        <v>0</v>
      </c>
      <c r="M115" s="685">
        <f t="shared" si="85"/>
        <v>0</v>
      </c>
      <c r="N115" s="685">
        <f t="shared" si="85"/>
        <v>0</v>
      </c>
      <c r="O115" s="685">
        <f t="shared" si="85"/>
        <v>0</v>
      </c>
      <c r="P115" s="685">
        <f t="shared" si="85"/>
        <v>0</v>
      </c>
      <c r="Q115" s="685">
        <f t="shared" si="85"/>
        <v>0</v>
      </c>
      <c r="R115" s="685">
        <f t="shared" si="85"/>
        <v>0</v>
      </c>
      <c r="S115" s="259">
        <f t="shared" si="85"/>
        <v>0</v>
      </c>
      <c r="T115" s="246">
        <f t="shared" si="39"/>
        <v>0</v>
      </c>
      <c r="U115" s="75">
        <v>40106</v>
      </c>
      <c r="V115" s="257"/>
      <c r="W115" s="231"/>
      <c r="X115" s="231"/>
      <c r="Y115" s="259"/>
      <c r="Z115" s="259"/>
      <c r="AA115" s="231"/>
      <c r="AB115" s="231"/>
      <c r="AC115" s="231"/>
      <c r="AD115" s="231"/>
      <c r="AE115" s="231"/>
      <c r="AF115" s="231"/>
      <c r="AG115" s="231"/>
      <c r="AH115" s="231"/>
      <c r="AI115" s="231"/>
      <c r="AJ115" s="231"/>
      <c r="AK115" s="231"/>
      <c r="AL115" s="231"/>
      <c r="AM115" s="232"/>
      <c r="AN115" s="75">
        <v>40106</v>
      </c>
      <c r="AO115" s="233">
        <f t="shared" si="19"/>
        <v>0</v>
      </c>
      <c r="AP115" s="231">
        <f t="shared" si="20"/>
        <v>0</v>
      </c>
      <c r="AQ115" s="231">
        <f t="shared" si="21"/>
        <v>0</v>
      </c>
      <c r="AR115" s="231">
        <f t="shared" si="22"/>
        <v>0</v>
      </c>
      <c r="AS115" s="231">
        <f t="shared" si="23"/>
        <v>0</v>
      </c>
      <c r="AT115" s="231">
        <f t="shared" si="24"/>
        <v>0</v>
      </c>
      <c r="AU115" s="231">
        <f t="shared" si="25"/>
        <v>0</v>
      </c>
      <c r="AV115" s="231">
        <f t="shared" si="26"/>
        <v>0</v>
      </c>
      <c r="AW115" s="231">
        <f t="shared" si="27"/>
        <v>0</v>
      </c>
      <c r="AX115" s="231">
        <f t="shared" si="28"/>
        <v>0</v>
      </c>
      <c r="AY115" s="231">
        <f t="shared" si="29"/>
        <v>0</v>
      </c>
      <c r="AZ115" s="231">
        <f t="shared" si="30"/>
        <v>0</v>
      </c>
      <c r="BA115" s="231">
        <f t="shared" si="31"/>
        <v>0</v>
      </c>
      <c r="BB115" s="231">
        <f t="shared" si="32"/>
        <v>0</v>
      </c>
      <c r="BC115" s="231">
        <f t="shared" si="33"/>
        <v>0</v>
      </c>
      <c r="BD115" s="231">
        <f t="shared" si="34"/>
        <v>0</v>
      </c>
      <c r="BE115" s="232">
        <f t="shared" si="35"/>
        <v>0</v>
      </c>
      <c r="BF115" s="75">
        <v>40106</v>
      </c>
      <c r="BG115" s="258">
        <f t="shared" si="41"/>
        <v>0</v>
      </c>
      <c r="BH115" s="259">
        <f t="shared" si="42"/>
        <v>0</v>
      </c>
      <c r="BI115" s="259">
        <f t="shared" si="43"/>
        <v>0</v>
      </c>
      <c r="BJ115" s="259">
        <f t="shared" si="44"/>
        <v>0</v>
      </c>
      <c r="BK115" s="259">
        <f t="shared" si="45"/>
        <v>0</v>
      </c>
      <c r="BL115" s="259">
        <f t="shared" si="46"/>
        <v>0</v>
      </c>
      <c r="BM115" s="259">
        <f t="shared" si="47"/>
        <v>0</v>
      </c>
      <c r="BN115" s="259">
        <f t="shared" si="48"/>
        <v>0</v>
      </c>
      <c r="BO115" s="259">
        <f t="shared" si="49"/>
        <v>0</v>
      </c>
      <c r="BP115" s="259">
        <f t="shared" si="50"/>
        <v>0</v>
      </c>
      <c r="BQ115" s="259">
        <f t="shared" si="51"/>
        <v>0</v>
      </c>
      <c r="BR115" s="259">
        <f t="shared" si="52"/>
        <v>0</v>
      </c>
      <c r="BS115" s="259">
        <f t="shared" si="53"/>
        <v>0</v>
      </c>
      <c r="BT115" s="259">
        <f t="shared" si="54"/>
        <v>0</v>
      </c>
      <c r="BU115" s="259">
        <f t="shared" si="55"/>
        <v>0</v>
      </c>
      <c r="BV115" s="259">
        <f t="shared" si="56"/>
        <v>0</v>
      </c>
      <c r="BW115" s="260">
        <f t="shared" si="57"/>
        <v>0</v>
      </c>
    </row>
    <row r="116" spans="1:75" s="587" customFormat="1">
      <c r="A116" s="575">
        <v>40137</v>
      </c>
      <c r="B116" s="575"/>
      <c r="C116" s="576">
        <f t="shared" ref="C116:S116" si="86">ROUND((C32-C33),2)</f>
        <v>0</v>
      </c>
      <c r="D116" s="577">
        <f t="shared" si="86"/>
        <v>0</v>
      </c>
      <c r="E116" s="577">
        <f t="shared" si="86"/>
        <v>0</v>
      </c>
      <c r="F116" s="684">
        <f t="shared" si="86"/>
        <v>296411695.74000001</v>
      </c>
      <c r="G116" s="684">
        <f t="shared" si="86"/>
        <v>81723654.739999995</v>
      </c>
      <c r="H116" s="577">
        <f t="shared" si="86"/>
        <v>0</v>
      </c>
      <c r="I116" s="577">
        <f t="shared" si="86"/>
        <v>0</v>
      </c>
      <c r="J116" s="577">
        <f t="shared" si="86"/>
        <v>0</v>
      </c>
      <c r="K116" s="684">
        <f t="shared" si="86"/>
        <v>0</v>
      </c>
      <c r="L116" s="684">
        <f t="shared" si="86"/>
        <v>0</v>
      </c>
      <c r="M116" s="684">
        <f t="shared" si="86"/>
        <v>0</v>
      </c>
      <c r="N116" s="684">
        <f t="shared" si="86"/>
        <v>0</v>
      </c>
      <c r="O116" s="684">
        <f t="shared" si="86"/>
        <v>0</v>
      </c>
      <c r="P116" s="684">
        <f t="shared" si="86"/>
        <v>0</v>
      </c>
      <c r="Q116" s="684">
        <f t="shared" si="86"/>
        <v>0</v>
      </c>
      <c r="R116" s="684">
        <f t="shared" si="86"/>
        <v>0</v>
      </c>
      <c r="S116" s="585">
        <f t="shared" si="86"/>
        <v>0</v>
      </c>
      <c r="T116" s="579">
        <f t="shared" si="39"/>
        <v>378135350.48000002</v>
      </c>
      <c r="U116" s="575">
        <v>40137</v>
      </c>
      <c r="V116" s="580"/>
      <c r="W116" s="581"/>
      <c r="X116" s="581"/>
      <c r="Y116" s="684">
        <v>296411695.74000001</v>
      </c>
      <c r="Z116" s="684">
        <v>81723654.739999995</v>
      </c>
      <c r="AA116" s="581"/>
      <c r="AB116" s="581"/>
      <c r="AC116" s="581"/>
      <c r="AD116" s="581"/>
      <c r="AE116" s="581"/>
      <c r="AF116" s="581"/>
      <c r="AG116" s="581"/>
      <c r="AH116" s="581"/>
      <c r="AI116" s="581"/>
      <c r="AJ116" s="581"/>
      <c r="AK116" s="581"/>
      <c r="AL116" s="581"/>
      <c r="AM116" s="582"/>
      <c r="AN116" s="575">
        <v>40137</v>
      </c>
      <c r="AO116" s="583">
        <f t="shared" si="19"/>
        <v>0</v>
      </c>
      <c r="AP116" s="581">
        <f t="shared" si="20"/>
        <v>0</v>
      </c>
      <c r="AQ116" s="581">
        <f t="shared" si="21"/>
        <v>0</v>
      </c>
      <c r="AR116" s="581">
        <f t="shared" si="22"/>
        <v>0</v>
      </c>
      <c r="AS116" s="581">
        <f t="shared" si="23"/>
        <v>0</v>
      </c>
      <c r="AT116" s="581">
        <f t="shared" si="24"/>
        <v>0</v>
      </c>
      <c r="AU116" s="581">
        <f t="shared" si="25"/>
        <v>0</v>
      </c>
      <c r="AV116" s="581">
        <f t="shared" si="26"/>
        <v>0</v>
      </c>
      <c r="AW116" s="581">
        <f t="shared" si="27"/>
        <v>0</v>
      </c>
      <c r="AX116" s="581">
        <f t="shared" si="28"/>
        <v>0</v>
      </c>
      <c r="AY116" s="581">
        <f t="shared" si="29"/>
        <v>0</v>
      </c>
      <c r="AZ116" s="581">
        <f t="shared" si="30"/>
        <v>0</v>
      </c>
      <c r="BA116" s="581">
        <f t="shared" si="31"/>
        <v>0</v>
      </c>
      <c r="BB116" s="581">
        <f t="shared" si="32"/>
        <v>0</v>
      </c>
      <c r="BC116" s="581">
        <f t="shared" si="33"/>
        <v>0</v>
      </c>
      <c r="BD116" s="581">
        <f t="shared" si="34"/>
        <v>0</v>
      </c>
      <c r="BE116" s="582">
        <f t="shared" si="35"/>
        <v>0</v>
      </c>
      <c r="BF116" s="575">
        <v>40137</v>
      </c>
      <c r="BG116" s="584">
        <f t="shared" si="41"/>
        <v>0</v>
      </c>
      <c r="BH116" s="585">
        <f t="shared" si="42"/>
        <v>0</v>
      </c>
      <c r="BI116" s="585">
        <f t="shared" si="43"/>
        <v>0</v>
      </c>
      <c r="BJ116" s="585">
        <f>+BJ115+AR116</f>
        <v>0</v>
      </c>
      <c r="BK116" s="585">
        <f t="shared" si="45"/>
        <v>0</v>
      </c>
      <c r="BL116" s="585">
        <f t="shared" si="46"/>
        <v>0</v>
      </c>
      <c r="BM116" s="585">
        <f t="shared" si="47"/>
        <v>0</v>
      </c>
      <c r="BN116" s="585">
        <f t="shared" si="48"/>
        <v>0</v>
      </c>
      <c r="BO116" s="585">
        <f t="shared" si="49"/>
        <v>0</v>
      </c>
      <c r="BP116" s="585">
        <f t="shared" si="50"/>
        <v>0</v>
      </c>
      <c r="BQ116" s="585">
        <f t="shared" si="51"/>
        <v>0</v>
      </c>
      <c r="BR116" s="585">
        <f t="shared" si="52"/>
        <v>0</v>
      </c>
      <c r="BS116" s="585">
        <f t="shared" si="53"/>
        <v>0</v>
      </c>
      <c r="BT116" s="585">
        <f t="shared" si="54"/>
        <v>0</v>
      </c>
      <c r="BU116" s="585">
        <f t="shared" si="55"/>
        <v>0</v>
      </c>
      <c r="BV116" s="585">
        <f t="shared" si="56"/>
        <v>0</v>
      </c>
      <c r="BW116" s="586">
        <f t="shared" si="57"/>
        <v>0</v>
      </c>
    </row>
    <row r="117" spans="1:75">
      <c r="A117" s="75">
        <v>40167</v>
      </c>
      <c r="B117" s="75"/>
      <c r="C117" s="262">
        <f t="shared" ref="C117:S117" si="87">ROUND((C33-C34),2)</f>
        <v>0</v>
      </c>
      <c r="D117" s="263">
        <f t="shared" si="87"/>
        <v>0</v>
      </c>
      <c r="E117" s="263">
        <f t="shared" si="87"/>
        <v>0</v>
      </c>
      <c r="F117" s="685">
        <f t="shared" si="87"/>
        <v>0</v>
      </c>
      <c r="G117" s="685">
        <f t="shared" si="87"/>
        <v>0</v>
      </c>
      <c r="H117" s="263">
        <f t="shared" si="87"/>
        <v>0</v>
      </c>
      <c r="I117" s="263">
        <f t="shared" si="87"/>
        <v>0</v>
      </c>
      <c r="J117" s="263">
        <f t="shared" si="87"/>
        <v>0</v>
      </c>
      <c r="K117" s="685">
        <f t="shared" si="87"/>
        <v>0</v>
      </c>
      <c r="L117" s="685">
        <f t="shared" si="87"/>
        <v>0</v>
      </c>
      <c r="M117" s="685">
        <f t="shared" si="87"/>
        <v>0</v>
      </c>
      <c r="N117" s="685">
        <f t="shared" si="87"/>
        <v>0</v>
      </c>
      <c r="O117" s="685">
        <f t="shared" si="87"/>
        <v>0</v>
      </c>
      <c r="P117" s="685">
        <f t="shared" si="87"/>
        <v>0</v>
      </c>
      <c r="Q117" s="685">
        <f t="shared" si="87"/>
        <v>0</v>
      </c>
      <c r="R117" s="685">
        <f t="shared" si="87"/>
        <v>0</v>
      </c>
      <c r="S117" s="259">
        <f t="shared" si="87"/>
        <v>0</v>
      </c>
      <c r="T117" s="246">
        <f t="shared" si="39"/>
        <v>0</v>
      </c>
      <c r="U117" s="75">
        <v>40167</v>
      </c>
      <c r="V117" s="257"/>
      <c r="W117" s="231"/>
      <c r="X117" s="231"/>
      <c r="Y117" s="364"/>
      <c r="Z117" s="364"/>
      <c r="AA117" s="231"/>
      <c r="AB117" s="231"/>
      <c r="AC117" s="231"/>
      <c r="AD117" s="231"/>
      <c r="AE117" s="231"/>
      <c r="AF117" s="231"/>
      <c r="AG117" s="231"/>
      <c r="AH117" s="231"/>
      <c r="AI117" s="231"/>
      <c r="AJ117" s="231"/>
      <c r="AK117" s="231"/>
      <c r="AL117" s="231"/>
      <c r="AM117" s="232"/>
      <c r="AN117" s="75">
        <v>40167</v>
      </c>
      <c r="AO117" s="233">
        <f t="shared" si="19"/>
        <v>0</v>
      </c>
      <c r="AP117" s="231">
        <f t="shared" si="20"/>
        <v>0</v>
      </c>
      <c r="AQ117" s="231">
        <f t="shared" si="21"/>
        <v>0</v>
      </c>
      <c r="AR117" s="231">
        <f t="shared" si="22"/>
        <v>0</v>
      </c>
      <c r="AS117" s="231">
        <f t="shared" si="23"/>
        <v>0</v>
      </c>
      <c r="AT117" s="231">
        <f t="shared" si="24"/>
        <v>0</v>
      </c>
      <c r="AU117" s="231">
        <f t="shared" si="25"/>
        <v>0</v>
      </c>
      <c r="AV117" s="231">
        <f t="shared" si="26"/>
        <v>0</v>
      </c>
      <c r="AW117" s="231">
        <f t="shared" si="27"/>
        <v>0</v>
      </c>
      <c r="AX117" s="231">
        <f t="shared" si="28"/>
        <v>0</v>
      </c>
      <c r="AY117" s="231">
        <f t="shared" si="29"/>
        <v>0</v>
      </c>
      <c r="AZ117" s="231">
        <f t="shared" si="30"/>
        <v>0</v>
      </c>
      <c r="BA117" s="231">
        <f t="shared" si="31"/>
        <v>0</v>
      </c>
      <c r="BB117" s="231">
        <f t="shared" si="32"/>
        <v>0</v>
      </c>
      <c r="BC117" s="231">
        <f t="shared" si="33"/>
        <v>0</v>
      </c>
      <c r="BD117" s="231">
        <f t="shared" si="34"/>
        <v>0</v>
      </c>
      <c r="BE117" s="232">
        <f t="shared" si="35"/>
        <v>0</v>
      </c>
      <c r="BF117" s="75">
        <v>40167</v>
      </c>
      <c r="BG117" s="258">
        <f t="shared" si="41"/>
        <v>0</v>
      </c>
      <c r="BH117" s="259">
        <f t="shared" si="42"/>
        <v>0</v>
      </c>
      <c r="BI117" s="259">
        <f t="shared" si="43"/>
        <v>0</v>
      </c>
      <c r="BJ117" s="259">
        <f t="shared" si="44"/>
        <v>0</v>
      </c>
      <c r="BK117" s="259">
        <f t="shared" si="45"/>
        <v>0</v>
      </c>
      <c r="BL117" s="259">
        <f t="shared" si="46"/>
        <v>0</v>
      </c>
      <c r="BM117" s="259">
        <f t="shared" si="47"/>
        <v>0</v>
      </c>
      <c r="BN117" s="259">
        <f t="shared" si="48"/>
        <v>0</v>
      </c>
      <c r="BO117" s="259">
        <f t="shared" si="49"/>
        <v>0</v>
      </c>
      <c r="BP117" s="259">
        <f t="shared" si="50"/>
        <v>0</v>
      </c>
      <c r="BQ117" s="259">
        <f t="shared" si="51"/>
        <v>0</v>
      </c>
      <c r="BR117" s="259">
        <f t="shared" si="52"/>
        <v>0</v>
      </c>
      <c r="BS117" s="259">
        <f t="shared" si="53"/>
        <v>0</v>
      </c>
      <c r="BT117" s="259">
        <f t="shared" si="54"/>
        <v>0</v>
      </c>
      <c r="BU117" s="259">
        <f t="shared" si="55"/>
        <v>0</v>
      </c>
      <c r="BV117" s="259">
        <f t="shared" si="56"/>
        <v>0</v>
      </c>
      <c r="BW117" s="260">
        <f t="shared" si="57"/>
        <v>0</v>
      </c>
    </row>
    <row r="118" spans="1:75">
      <c r="A118" s="75">
        <v>40198</v>
      </c>
      <c r="B118" s="75"/>
      <c r="C118" s="262">
        <f t="shared" ref="C118:S118" si="88">ROUND((C34-C35),2)</f>
        <v>0</v>
      </c>
      <c r="D118" s="263">
        <f t="shared" si="88"/>
        <v>0</v>
      </c>
      <c r="E118" s="263">
        <f t="shared" si="88"/>
        <v>0</v>
      </c>
      <c r="F118" s="685">
        <f t="shared" si="88"/>
        <v>0</v>
      </c>
      <c r="G118" s="685">
        <f t="shared" si="88"/>
        <v>0</v>
      </c>
      <c r="H118" s="263">
        <f t="shared" si="88"/>
        <v>0</v>
      </c>
      <c r="I118" s="263">
        <f t="shared" si="88"/>
        <v>0</v>
      </c>
      <c r="J118" s="263">
        <f t="shared" si="88"/>
        <v>0</v>
      </c>
      <c r="K118" s="685">
        <f t="shared" si="88"/>
        <v>0</v>
      </c>
      <c r="L118" s="685">
        <f t="shared" si="88"/>
        <v>0</v>
      </c>
      <c r="M118" s="685">
        <f t="shared" si="88"/>
        <v>0</v>
      </c>
      <c r="N118" s="685">
        <f t="shared" si="88"/>
        <v>0</v>
      </c>
      <c r="O118" s="685">
        <f t="shared" si="88"/>
        <v>0</v>
      </c>
      <c r="P118" s="685">
        <f t="shared" si="88"/>
        <v>0</v>
      </c>
      <c r="Q118" s="685">
        <f t="shared" si="88"/>
        <v>0</v>
      </c>
      <c r="R118" s="685">
        <f t="shared" si="88"/>
        <v>0</v>
      </c>
      <c r="S118" s="259">
        <f t="shared" si="88"/>
        <v>0</v>
      </c>
      <c r="T118" s="246">
        <f t="shared" si="39"/>
        <v>0</v>
      </c>
      <c r="U118" s="75">
        <v>40198</v>
      </c>
      <c r="V118" s="257"/>
      <c r="W118" s="231"/>
      <c r="X118" s="231"/>
      <c r="Y118" s="259"/>
      <c r="Z118" s="259"/>
      <c r="AA118" s="231"/>
      <c r="AB118" s="231"/>
      <c r="AC118" s="231"/>
      <c r="AD118" s="231"/>
      <c r="AE118" s="231"/>
      <c r="AF118" s="231"/>
      <c r="AG118" s="231"/>
      <c r="AH118" s="231"/>
      <c r="AI118" s="231"/>
      <c r="AJ118" s="231"/>
      <c r="AK118" s="231"/>
      <c r="AL118" s="231"/>
      <c r="AM118" s="232"/>
      <c r="AN118" s="75">
        <v>40198</v>
      </c>
      <c r="AO118" s="233">
        <f t="shared" ref="AO118:AO153" si="89">C118-V118</f>
        <v>0</v>
      </c>
      <c r="AP118" s="231">
        <f t="shared" ref="AP118:AP153" si="90">D118-W118</f>
        <v>0</v>
      </c>
      <c r="AQ118" s="231">
        <f t="shared" ref="AQ118:AQ153" si="91">E118-X118</f>
        <v>0</v>
      </c>
      <c r="AR118" s="231">
        <f t="shared" ref="AR118:AR153" si="92">F118-Y118</f>
        <v>0</v>
      </c>
      <c r="AS118" s="231">
        <f t="shared" ref="AS118:AS153" si="93">G118-Z118</f>
        <v>0</v>
      </c>
      <c r="AT118" s="231">
        <f t="shared" ref="AT118:AT153" si="94">H118-AA118</f>
        <v>0</v>
      </c>
      <c r="AU118" s="231">
        <f t="shared" ref="AU118:AU153" si="95">I118-AB118</f>
        <v>0</v>
      </c>
      <c r="AV118" s="231">
        <f t="shared" ref="AV118:AV153" si="96">J118-AC118</f>
        <v>0</v>
      </c>
      <c r="AW118" s="231">
        <f t="shared" ref="AW118:AW153" si="97">K118-AD118</f>
        <v>0</v>
      </c>
      <c r="AX118" s="231">
        <f t="shared" ref="AX118:AX153" si="98">L118-AE118</f>
        <v>0</v>
      </c>
      <c r="AY118" s="231">
        <f t="shared" ref="AY118:AY153" si="99">M118-AF118</f>
        <v>0</v>
      </c>
      <c r="AZ118" s="231">
        <f t="shared" ref="AZ118:AZ153" si="100">N118-AG118</f>
        <v>0</v>
      </c>
      <c r="BA118" s="231">
        <f t="shared" ref="BA118:BA153" si="101">O118-AH118</f>
        <v>0</v>
      </c>
      <c r="BB118" s="231">
        <f t="shared" ref="BB118:BB153" si="102">P118-AI118</f>
        <v>0</v>
      </c>
      <c r="BC118" s="231">
        <f t="shared" ref="BC118:BC153" si="103">Q118-AJ118</f>
        <v>0</v>
      </c>
      <c r="BD118" s="231">
        <f t="shared" ref="BD118:BD153" si="104">R118-AK118</f>
        <v>0</v>
      </c>
      <c r="BE118" s="232">
        <f t="shared" ref="BE118:BE153" si="105">S118-AL118</f>
        <v>0</v>
      </c>
      <c r="BF118" s="75">
        <v>40198</v>
      </c>
      <c r="BG118" s="258">
        <f t="shared" si="41"/>
        <v>0</v>
      </c>
      <c r="BH118" s="259">
        <f t="shared" si="42"/>
        <v>0</v>
      </c>
      <c r="BI118" s="259">
        <f t="shared" si="43"/>
        <v>0</v>
      </c>
      <c r="BJ118" s="259">
        <f t="shared" si="44"/>
        <v>0</v>
      </c>
      <c r="BK118" s="259">
        <f t="shared" si="45"/>
        <v>0</v>
      </c>
      <c r="BL118" s="259">
        <f t="shared" si="46"/>
        <v>0</v>
      </c>
      <c r="BM118" s="259">
        <f t="shared" si="47"/>
        <v>0</v>
      </c>
      <c r="BN118" s="259">
        <f t="shared" si="48"/>
        <v>0</v>
      </c>
      <c r="BO118" s="259">
        <f t="shared" si="49"/>
        <v>0</v>
      </c>
      <c r="BP118" s="259">
        <f t="shared" si="50"/>
        <v>0</v>
      </c>
      <c r="BQ118" s="259">
        <f t="shared" si="51"/>
        <v>0</v>
      </c>
      <c r="BR118" s="259">
        <f t="shared" si="52"/>
        <v>0</v>
      </c>
      <c r="BS118" s="259">
        <f t="shared" si="53"/>
        <v>0</v>
      </c>
      <c r="BT118" s="259">
        <f t="shared" si="54"/>
        <v>0</v>
      </c>
      <c r="BU118" s="259">
        <f t="shared" si="55"/>
        <v>0</v>
      </c>
      <c r="BV118" s="259">
        <f t="shared" si="56"/>
        <v>0</v>
      </c>
      <c r="BW118" s="260">
        <f t="shared" si="57"/>
        <v>0</v>
      </c>
    </row>
    <row r="119" spans="1:75" s="587" customFormat="1">
      <c r="A119" s="575">
        <v>40231</v>
      </c>
      <c r="B119" s="575"/>
      <c r="C119" s="576">
        <f t="shared" ref="C119:S119" si="106">ROUND((C35-C36),2)</f>
        <v>0</v>
      </c>
      <c r="D119" s="577">
        <f t="shared" si="106"/>
        <v>0</v>
      </c>
      <c r="E119" s="577">
        <f t="shared" si="106"/>
        <v>0</v>
      </c>
      <c r="F119" s="684">
        <f t="shared" si="106"/>
        <v>280328874.06</v>
      </c>
      <c r="G119" s="684">
        <f t="shared" si="106"/>
        <v>77289460.730000004</v>
      </c>
      <c r="H119" s="577">
        <f t="shared" si="106"/>
        <v>0</v>
      </c>
      <c r="I119" s="577">
        <f t="shared" si="106"/>
        <v>0</v>
      </c>
      <c r="J119" s="577">
        <f t="shared" si="106"/>
        <v>0</v>
      </c>
      <c r="K119" s="684">
        <f t="shared" si="106"/>
        <v>0</v>
      </c>
      <c r="L119" s="684">
        <f>ROUND((L35-L36),2)</f>
        <v>65816979.829999998</v>
      </c>
      <c r="M119" s="684">
        <f>ROUND((M35-M36),2)</f>
        <v>9402425.6899999995</v>
      </c>
      <c r="N119" s="684">
        <f t="shared" si="106"/>
        <v>0</v>
      </c>
      <c r="O119" s="684">
        <f>ROUND((O35-O36),2)</f>
        <v>44708534.159999996</v>
      </c>
      <c r="P119" s="684">
        <f t="shared" si="106"/>
        <v>18804851.379999999</v>
      </c>
      <c r="Q119" s="684">
        <f t="shared" si="106"/>
        <v>21155457.800000001</v>
      </c>
      <c r="R119" s="684">
        <f t="shared" si="106"/>
        <v>89746153.219999999</v>
      </c>
      <c r="S119" s="585">
        <f t="shared" si="106"/>
        <v>10342668.26</v>
      </c>
      <c r="T119" s="579">
        <f t="shared" ref="T119:T150" si="107">SUM(C119:S119)</f>
        <v>617595405.13</v>
      </c>
      <c r="U119" s="575">
        <v>40231</v>
      </c>
      <c r="V119" s="580"/>
      <c r="W119" s="581"/>
      <c r="X119" s="581"/>
      <c r="Y119" s="684">
        <v>280328874.06</v>
      </c>
      <c r="Z119" s="684">
        <v>77289460.730000004</v>
      </c>
      <c r="AA119" s="581"/>
      <c r="AB119" s="581"/>
      <c r="AC119" s="581"/>
      <c r="AD119" s="581"/>
      <c r="AE119" s="684">
        <v>65816979.829999998</v>
      </c>
      <c r="AF119" s="684">
        <v>9402425.6899999995</v>
      </c>
      <c r="AG119" s="684"/>
      <c r="AH119" s="684">
        <v>44708534.159999996</v>
      </c>
      <c r="AI119" s="684">
        <v>18804851.379999999</v>
      </c>
      <c r="AJ119" s="684">
        <v>21155457.800000001</v>
      </c>
      <c r="AK119" s="684">
        <v>89746153.219999999</v>
      </c>
      <c r="AL119" s="684">
        <v>10342668.26</v>
      </c>
      <c r="AM119" s="582"/>
      <c r="AN119" s="575">
        <v>40231</v>
      </c>
      <c r="AO119" s="583">
        <f t="shared" si="89"/>
        <v>0</v>
      </c>
      <c r="AP119" s="581">
        <f t="shared" si="90"/>
        <v>0</v>
      </c>
      <c r="AQ119" s="581">
        <f t="shared" si="91"/>
        <v>0</v>
      </c>
      <c r="AR119" s="578">
        <f>F119-Y119</f>
        <v>0</v>
      </c>
      <c r="AS119" s="578">
        <f>G119-Z119</f>
        <v>0</v>
      </c>
      <c r="AT119" s="581">
        <f t="shared" si="94"/>
        <v>0</v>
      </c>
      <c r="AU119" s="581">
        <f t="shared" si="95"/>
        <v>0</v>
      </c>
      <c r="AV119" s="581">
        <f t="shared" si="96"/>
        <v>0</v>
      </c>
      <c r="AW119" s="581">
        <f t="shared" si="97"/>
        <v>0</v>
      </c>
      <c r="AX119" s="585">
        <f t="shared" ref="AX119:BE119" si="108">L119-AE119</f>
        <v>0</v>
      </c>
      <c r="AY119" s="578">
        <f t="shared" si="108"/>
        <v>0</v>
      </c>
      <c r="AZ119" s="581">
        <f t="shared" si="108"/>
        <v>0</v>
      </c>
      <c r="BA119" s="578">
        <f t="shared" si="108"/>
        <v>0</v>
      </c>
      <c r="BB119" s="578">
        <f t="shared" si="108"/>
        <v>0</v>
      </c>
      <c r="BC119" s="578">
        <f t="shared" si="108"/>
        <v>0</v>
      </c>
      <c r="BD119" s="578">
        <f t="shared" si="108"/>
        <v>0</v>
      </c>
      <c r="BE119" s="579">
        <f t="shared" si="108"/>
        <v>0</v>
      </c>
      <c r="BF119" s="575">
        <v>40231</v>
      </c>
      <c r="BG119" s="584">
        <f>+BG118+AO119</f>
        <v>0</v>
      </c>
      <c r="BH119" s="585">
        <f t="shared" si="42"/>
        <v>0</v>
      </c>
      <c r="BI119" s="585">
        <f t="shared" si="43"/>
        <v>0</v>
      </c>
      <c r="BJ119" s="585">
        <f t="shared" si="44"/>
        <v>0</v>
      </c>
      <c r="BK119" s="585">
        <f t="shared" si="45"/>
        <v>0</v>
      </c>
      <c r="BL119" s="585">
        <f t="shared" si="46"/>
        <v>0</v>
      </c>
      <c r="BM119" s="585">
        <f t="shared" si="47"/>
        <v>0</v>
      </c>
      <c r="BN119" s="585">
        <f t="shared" si="48"/>
        <v>0</v>
      </c>
      <c r="BO119" s="585">
        <f t="shared" si="49"/>
        <v>0</v>
      </c>
      <c r="BP119" s="585">
        <f>+BP118+AX119</f>
        <v>0</v>
      </c>
      <c r="BQ119" s="585">
        <f t="shared" si="51"/>
        <v>0</v>
      </c>
      <c r="BR119" s="585">
        <f t="shared" si="52"/>
        <v>0</v>
      </c>
      <c r="BS119" s="585">
        <f t="shared" si="53"/>
        <v>0</v>
      </c>
      <c r="BT119" s="585">
        <f t="shared" si="54"/>
        <v>0</v>
      </c>
      <c r="BU119" s="585">
        <f t="shared" si="55"/>
        <v>0</v>
      </c>
      <c r="BV119" s="585">
        <f t="shared" si="56"/>
        <v>0</v>
      </c>
      <c r="BW119" s="586">
        <f t="shared" si="57"/>
        <v>0</v>
      </c>
    </row>
    <row r="120" spans="1:75">
      <c r="A120" s="75">
        <v>40257</v>
      </c>
      <c r="B120" s="75"/>
      <c r="C120" s="262">
        <f t="shared" ref="C120:S120" si="109">ROUND((C36-C37),2)</f>
        <v>0</v>
      </c>
      <c r="D120" s="263">
        <f t="shared" si="109"/>
        <v>0</v>
      </c>
      <c r="E120" s="263">
        <f t="shared" si="109"/>
        <v>0</v>
      </c>
      <c r="F120" s="263">
        <f t="shared" si="109"/>
        <v>0</v>
      </c>
      <c r="G120" s="263">
        <f t="shared" si="109"/>
        <v>0</v>
      </c>
      <c r="H120" s="263">
        <f t="shared" si="109"/>
        <v>0</v>
      </c>
      <c r="I120" s="263">
        <f t="shared" si="109"/>
        <v>0</v>
      </c>
      <c r="J120" s="263">
        <f t="shared" si="109"/>
        <v>0</v>
      </c>
      <c r="K120" s="263">
        <f t="shared" si="109"/>
        <v>0</v>
      </c>
      <c r="L120" s="263">
        <f t="shared" si="109"/>
        <v>0</v>
      </c>
      <c r="M120" s="263">
        <f t="shared" si="109"/>
        <v>0</v>
      </c>
      <c r="N120" s="263">
        <f t="shared" si="109"/>
        <v>0</v>
      </c>
      <c r="O120" s="263">
        <f t="shared" si="109"/>
        <v>0</v>
      </c>
      <c r="P120" s="263">
        <f t="shared" si="109"/>
        <v>0</v>
      </c>
      <c r="Q120" s="263">
        <f t="shared" si="109"/>
        <v>0</v>
      </c>
      <c r="R120" s="263">
        <f t="shared" si="109"/>
        <v>0</v>
      </c>
      <c r="S120" s="208">
        <f t="shared" si="109"/>
        <v>0</v>
      </c>
      <c r="T120" s="246">
        <f t="shared" si="107"/>
        <v>0</v>
      </c>
      <c r="U120" s="75">
        <v>40257</v>
      </c>
      <c r="V120" s="257"/>
      <c r="W120" s="231"/>
      <c r="X120" s="231"/>
      <c r="Y120" s="259"/>
      <c r="Z120" s="259"/>
      <c r="AA120" s="231"/>
      <c r="AB120" s="231"/>
      <c r="AC120" s="231"/>
      <c r="AD120" s="231"/>
      <c r="AE120" s="231"/>
      <c r="AF120" s="231"/>
      <c r="AG120" s="231"/>
      <c r="AH120" s="231"/>
      <c r="AI120" s="231"/>
      <c r="AJ120" s="231"/>
      <c r="AK120" s="231"/>
      <c r="AL120" s="231"/>
      <c r="AM120" s="232"/>
      <c r="AN120" s="75">
        <v>40257</v>
      </c>
      <c r="AO120" s="233">
        <f t="shared" si="89"/>
        <v>0</v>
      </c>
      <c r="AP120" s="231">
        <f t="shared" si="90"/>
        <v>0</v>
      </c>
      <c r="AQ120" s="231">
        <f t="shared" si="91"/>
        <v>0</v>
      </c>
      <c r="AR120" s="231">
        <f t="shared" si="92"/>
        <v>0</v>
      </c>
      <c r="AS120" s="231">
        <f t="shared" si="93"/>
        <v>0</v>
      </c>
      <c r="AT120" s="231">
        <f t="shared" si="94"/>
        <v>0</v>
      </c>
      <c r="AU120" s="231">
        <f t="shared" si="95"/>
        <v>0</v>
      </c>
      <c r="AV120" s="231">
        <f t="shared" si="96"/>
        <v>0</v>
      </c>
      <c r="AW120" s="231">
        <f t="shared" si="97"/>
        <v>0</v>
      </c>
      <c r="AX120" s="231">
        <f t="shared" si="98"/>
        <v>0</v>
      </c>
      <c r="AY120" s="231">
        <f t="shared" si="99"/>
        <v>0</v>
      </c>
      <c r="AZ120" s="231">
        <f t="shared" si="100"/>
        <v>0</v>
      </c>
      <c r="BA120" s="231">
        <f t="shared" si="101"/>
        <v>0</v>
      </c>
      <c r="BB120" s="231">
        <f t="shared" si="102"/>
        <v>0</v>
      </c>
      <c r="BC120" s="231">
        <f t="shared" si="103"/>
        <v>0</v>
      </c>
      <c r="BD120" s="231">
        <f t="shared" si="104"/>
        <v>0</v>
      </c>
      <c r="BE120" s="232">
        <f t="shared" si="105"/>
        <v>0</v>
      </c>
      <c r="BF120" s="75">
        <v>40257</v>
      </c>
      <c r="BG120" s="258">
        <f t="shared" ref="BG120:BG153" si="110">+BG119+AO120</f>
        <v>0</v>
      </c>
      <c r="BH120" s="259">
        <f t="shared" ref="BH120:BH153" si="111">+BH119+AP120</f>
        <v>0</v>
      </c>
      <c r="BI120" s="259">
        <f t="shared" ref="BI120:BI153" si="112">+BI119+AQ120</f>
        <v>0</v>
      </c>
      <c r="BJ120" s="259">
        <f t="shared" ref="BJ120:BJ153" si="113">+BJ119+AR120</f>
        <v>0</v>
      </c>
      <c r="BK120" s="259">
        <f t="shared" ref="BK120:BK153" si="114">+BK119+AS120</f>
        <v>0</v>
      </c>
      <c r="BL120" s="259">
        <f t="shared" ref="BL120:BL153" si="115">+BL119+AT120</f>
        <v>0</v>
      </c>
      <c r="BM120" s="259">
        <f t="shared" ref="BM120:BM153" si="116">+BM119+AU120</f>
        <v>0</v>
      </c>
      <c r="BN120" s="259">
        <f t="shared" ref="BN120:BN153" si="117">+BN119+AV120</f>
        <v>0</v>
      </c>
      <c r="BO120" s="259">
        <f t="shared" ref="BO120:BO153" si="118">+BO119+AW120</f>
        <v>0</v>
      </c>
      <c r="BP120" s="259">
        <f t="shared" ref="BP120:BP153" si="119">+BP119+AX120</f>
        <v>0</v>
      </c>
      <c r="BQ120" s="259">
        <f t="shared" ref="BQ120:BQ153" si="120">+BQ119+AY120</f>
        <v>0</v>
      </c>
      <c r="BR120" s="259">
        <f t="shared" ref="BR120:BR153" si="121">+BR119+AZ120</f>
        <v>0</v>
      </c>
      <c r="BS120" s="259">
        <f t="shared" ref="BS120:BS153" si="122">+BS119+BA120</f>
        <v>0</v>
      </c>
      <c r="BT120" s="259">
        <f t="shared" ref="BT120:BT153" si="123">+BT119+BB120</f>
        <v>0</v>
      </c>
      <c r="BU120" s="259">
        <f t="shared" ref="BU120:BU153" si="124">+BU119+BC120</f>
        <v>0</v>
      </c>
      <c r="BV120" s="259">
        <f t="shared" ref="BV120:BV153" si="125">+BV119+BD120</f>
        <v>0</v>
      </c>
      <c r="BW120" s="260">
        <f t="shared" ref="BW120:BW153" si="126">+BW119+BE120</f>
        <v>0</v>
      </c>
    </row>
    <row r="121" spans="1:75">
      <c r="A121" s="75">
        <v>40288</v>
      </c>
      <c r="B121" s="75"/>
      <c r="C121" s="262">
        <f t="shared" ref="C121:S121" si="127">ROUND((C37-C38),2)</f>
        <v>0</v>
      </c>
      <c r="D121" s="263">
        <f t="shared" si="127"/>
        <v>0</v>
      </c>
      <c r="E121" s="263">
        <f t="shared" si="127"/>
        <v>0</v>
      </c>
      <c r="F121" s="263">
        <f t="shared" si="127"/>
        <v>0</v>
      </c>
      <c r="G121" s="263">
        <f t="shared" si="127"/>
        <v>0</v>
      </c>
      <c r="H121" s="263">
        <f t="shared" si="127"/>
        <v>0</v>
      </c>
      <c r="I121" s="263">
        <f t="shared" si="127"/>
        <v>0</v>
      </c>
      <c r="J121" s="263">
        <f t="shared" si="127"/>
        <v>0</v>
      </c>
      <c r="K121" s="263">
        <f t="shared" si="127"/>
        <v>0</v>
      </c>
      <c r="L121" s="263">
        <f t="shared" si="127"/>
        <v>0</v>
      </c>
      <c r="M121" s="263">
        <f t="shared" si="127"/>
        <v>0</v>
      </c>
      <c r="N121" s="263">
        <f t="shared" si="127"/>
        <v>0</v>
      </c>
      <c r="O121" s="263">
        <f t="shared" si="127"/>
        <v>0</v>
      </c>
      <c r="P121" s="263">
        <f t="shared" si="127"/>
        <v>0</v>
      </c>
      <c r="Q121" s="263">
        <f t="shared" si="127"/>
        <v>0</v>
      </c>
      <c r="R121" s="263">
        <f t="shared" si="127"/>
        <v>0</v>
      </c>
      <c r="S121" s="208">
        <f t="shared" si="127"/>
        <v>0</v>
      </c>
      <c r="T121" s="246">
        <f t="shared" si="107"/>
        <v>0</v>
      </c>
      <c r="U121" s="75">
        <v>40288</v>
      </c>
      <c r="V121" s="257"/>
      <c r="W121" s="231"/>
      <c r="X121" s="231"/>
      <c r="Y121" s="259"/>
      <c r="Z121" s="259"/>
      <c r="AA121" s="231"/>
      <c r="AB121" s="231"/>
      <c r="AC121" s="231"/>
      <c r="AD121" s="231"/>
      <c r="AE121" s="231"/>
      <c r="AF121" s="231"/>
      <c r="AG121" s="231"/>
      <c r="AH121" s="231"/>
      <c r="AI121" s="231"/>
      <c r="AJ121" s="231"/>
      <c r="AK121" s="231"/>
      <c r="AL121" s="231"/>
      <c r="AM121" s="232"/>
      <c r="AN121" s="75">
        <v>40288</v>
      </c>
      <c r="AO121" s="233">
        <f t="shared" si="89"/>
        <v>0</v>
      </c>
      <c r="AP121" s="231">
        <f t="shared" si="90"/>
        <v>0</v>
      </c>
      <c r="AQ121" s="231">
        <f t="shared" si="91"/>
        <v>0</v>
      </c>
      <c r="AR121" s="231">
        <f t="shared" si="92"/>
        <v>0</v>
      </c>
      <c r="AS121" s="231">
        <f t="shared" si="93"/>
        <v>0</v>
      </c>
      <c r="AT121" s="231">
        <f t="shared" si="94"/>
        <v>0</v>
      </c>
      <c r="AU121" s="231">
        <f t="shared" si="95"/>
        <v>0</v>
      </c>
      <c r="AV121" s="231">
        <f t="shared" si="96"/>
        <v>0</v>
      </c>
      <c r="AW121" s="231">
        <f t="shared" si="97"/>
        <v>0</v>
      </c>
      <c r="AX121" s="231">
        <f t="shared" si="98"/>
        <v>0</v>
      </c>
      <c r="AY121" s="231">
        <f t="shared" si="99"/>
        <v>0</v>
      </c>
      <c r="AZ121" s="231">
        <f t="shared" si="100"/>
        <v>0</v>
      </c>
      <c r="BA121" s="231">
        <f t="shared" si="101"/>
        <v>0</v>
      </c>
      <c r="BB121" s="231">
        <f t="shared" si="102"/>
        <v>0</v>
      </c>
      <c r="BC121" s="231">
        <f t="shared" si="103"/>
        <v>0</v>
      </c>
      <c r="BD121" s="231">
        <f t="shared" si="104"/>
        <v>0</v>
      </c>
      <c r="BE121" s="232">
        <f t="shared" si="105"/>
        <v>0</v>
      </c>
      <c r="BF121" s="75">
        <v>40288</v>
      </c>
      <c r="BG121" s="258">
        <f t="shared" si="110"/>
        <v>0</v>
      </c>
      <c r="BH121" s="259">
        <f t="shared" si="111"/>
        <v>0</v>
      </c>
      <c r="BI121" s="259">
        <f t="shared" si="112"/>
        <v>0</v>
      </c>
      <c r="BJ121" s="259">
        <f t="shared" si="113"/>
        <v>0</v>
      </c>
      <c r="BK121" s="259">
        <f t="shared" si="114"/>
        <v>0</v>
      </c>
      <c r="BL121" s="259">
        <f t="shared" si="115"/>
        <v>0</v>
      </c>
      <c r="BM121" s="259">
        <f t="shared" si="116"/>
        <v>0</v>
      </c>
      <c r="BN121" s="259">
        <f t="shared" si="117"/>
        <v>0</v>
      </c>
      <c r="BO121" s="259">
        <f t="shared" si="118"/>
        <v>0</v>
      </c>
      <c r="BP121" s="259">
        <f>+BP120+AX121</f>
        <v>0</v>
      </c>
      <c r="BQ121" s="259">
        <f t="shared" si="120"/>
        <v>0</v>
      </c>
      <c r="BR121" s="259">
        <f t="shared" si="121"/>
        <v>0</v>
      </c>
      <c r="BS121" s="259">
        <f t="shared" si="122"/>
        <v>0</v>
      </c>
      <c r="BT121" s="259">
        <f t="shared" si="123"/>
        <v>0</v>
      </c>
      <c r="BU121" s="259">
        <f t="shared" si="124"/>
        <v>0</v>
      </c>
      <c r="BV121" s="259">
        <f t="shared" si="125"/>
        <v>0</v>
      </c>
      <c r="BW121" s="260">
        <f t="shared" si="126"/>
        <v>0</v>
      </c>
    </row>
    <row r="122" spans="1:75" s="587" customFormat="1">
      <c r="A122" s="575">
        <v>40318</v>
      </c>
      <c r="B122" s="575"/>
      <c r="C122" s="576">
        <f t="shared" ref="C122:K122" si="128">ROUND((C38-C39),2)</f>
        <v>0</v>
      </c>
      <c r="D122" s="577">
        <f t="shared" si="128"/>
        <v>0</v>
      </c>
      <c r="E122" s="577">
        <f t="shared" si="128"/>
        <v>0</v>
      </c>
      <c r="F122" s="684">
        <f>ROUND((F38-F39),2)</f>
        <v>265118680.40000001</v>
      </c>
      <c r="G122" s="684">
        <f t="shared" si="128"/>
        <v>73095858.950000003</v>
      </c>
      <c r="H122" s="577">
        <f t="shared" si="128"/>
        <v>0</v>
      </c>
      <c r="I122" s="577">
        <f t="shared" si="128"/>
        <v>0</v>
      </c>
      <c r="J122" s="577">
        <f t="shared" si="128"/>
        <v>0</v>
      </c>
      <c r="K122" s="577">
        <f t="shared" si="128"/>
        <v>0</v>
      </c>
      <c r="L122" s="577">
        <f>ROUND((L38-L39),2)-74183020.17</f>
        <v>0</v>
      </c>
      <c r="M122" s="577">
        <f>ROUND((M38-M39),2)-10597574.31</f>
        <v>0</v>
      </c>
      <c r="N122" s="577">
        <f>ROUND((N38-N39),2)</f>
        <v>0</v>
      </c>
      <c r="O122" s="577">
        <f>ROUND((O38-O39),2)-50391465.84</f>
        <v>0</v>
      </c>
      <c r="P122" s="577">
        <f>ROUND((P38-P39),2)-21195148.62</f>
        <v>0</v>
      </c>
      <c r="Q122" s="577">
        <f>ROUND((Q38-Q39),2)-23844542.2</f>
        <v>0</v>
      </c>
      <c r="R122" s="577">
        <f>ROUND((R38-R39),2)-101153846.78</f>
        <v>0</v>
      </c>
      <c r="S122" s="578">
        <f>ROUND((S38-S39),2)-11657331.74</f>
        <v>0</v>
      </c>
      <c r="T122" s="579">
        <f>SUM(C122:S122)</f>
        <v>338214539.35000002</v>
      </c>
      <c r="U122" s="575">
        <v>40318</v>
      </c>
      <c r="V122" s="580"/>
      <c r="W122" s="581"/>
      <c r="X122" s="581"/>
      <c r="Y122" s="684">
        <v>265118680.40000001</v>
      </c>
      <c r="Z122" s="684">
        <v>73095858.950000003</v>
      </c>
      <c r="AA122" s="581"/>
      <c r="AB122" s="581"/>
      <c r="AC122" s="581"/>
      <c r="AD122" s="581"/>
      <c r="AE122" s="581"/>
      <c r="AF122" s="581"/>
      <c r="AG122" s="581"/>
      <c r="AH122" s="581"/>
      <c r="AI122" s="581"/>
      <c r="AJ122" s="581"/>
      <c r="AK122" s="581"/>
      <c r="AL122" s="581"/>
      <c r="AM122" s="582"/>
      <c r="AN122" s="575">
        <v>40318</v>
      </c>
      <c r="AO122" s="583">
        <f t="shared" si="89"/>
        <v>0</v>
      </c>
      <c r="AP122" s="581">
        <f t="shared" si="90"/>
        <v>0</v>
      </c>
      <c r="AQ122" s="581">
        <f t="shared" si="91"/>
        <v>0</v>
      </c>
      <c r="AR122" s="578">
        <f>F122-Y122</f>
        <v>0</v>
      </c>
      <c r="AS122" s="578">
        <f>G122-Z122</f>
        <v>0</v>
      </c>
      <c r="AT122" s="581">
        <f t="shared" si="94"/>
        <v>0</v>
      </c>
      <c r="AU122" s="581">
        <f t="shared" si="95"/>
        <v>0</v>
      </c>
      <c r="AV122" s="581">
        <f t="shared" si="96"/>
        <v>0</v>
      </c>
      <c r="AW122" s="581">
        <f t="shared" si="97"/>
        <v>0</v>
      </c>
      <c r="AX122" s="578">
        <f>L122-AE122</f>
        <v>0</v>
      </c>
      <c r="AY122" s="578">
        <f>M122-AF122</f>
        <v>0</v>
      </c>
      <c r="AZ122" s="581">
        <f t="shared" si="100"/>
        <v>0</v>
      </c>
      <c r="BA122" s="578">
        <f>O122-AH122</f>
        <v>0</v>
      </c>
      <c r="BB122" s="578">
        <f>P122-AI122</f>
        <v>0</v>
      </c>
      <c r="BC122" s="578">
        <f>Q122-AJ122</f>
        <v>0</v>
      </c>
      <c r="BD122" s="578">
        <f>R122-AK122</f>
        <v>0</v>
      </c>
      <c r="BE122" s="579">
        <f>S122-AL122</f>
        <v>0</v>
      </c>
      <c r="BF122" s="575">
        <v>40318</v>
      </c>
      <c r="BG122" s="584">
        <f t="shared" si="110"/>
        <v>0</v>
      </c>
      <c r="BH122" s="585">
        <f t="shared" si="111"/>
        <v>0</v>
      </c>
      <c r="BI122" s="585">
        <f t="shared" si="112"/>
        <v>0</v>
      </c>
      <c r="BJ122" s="585">
        <f t="shared" si="113"/>
        <v>0</v>
      </c>
      <c r="BK122" s="585">
        <f t="shared" si="114"/>
        <v>0</v>
      </c>
      <c r="BL122" s="585">
        <f t="shared" si="115"/>
        <v>0</v>
      </c>
      <c r="BM122" s="585">
        <f t="shared" si="116"/>
        <v>0</v>
      </c>
      <c r="BN122" s="585">
        <f t="shared" si="117"/>
        <v>0</v>
      </c>
      <c r="BO122" s="585">
        <f t="shared" si="118"/>
        <v>0</v>
      </c>
      <c r="BP122" s="585">
        <f>+BP121+AX122</f>
        <v>0</v>
      </c>
      <c r="BQ122" s="585">
        <f t="shared" si="120"/>
        <v>0</v>
      </c>
      <c r="BR122" s="585">
        <f t="shared" si="121"/>
        <v>0</v>
      </c>
      <c r="BS122" s="585">
        <f t="shared" si="122"/>
        <v>0</v>
      </c>
      <c r="BT122" s="585">
        <f t="shared" si="123"/>
        <v>0</v>
      </c>
      <c r="BU122" s="585">
        <f t="shared" si="124"/>
        <v>0</v>
      </c>
      <c r="BV122" s="585">
        <f t="shared" si="125"/>
        <v>0</v>
      </c>
      <c r="BW122" s="586">
        <f t="shared" si="126"/>
        <v>0</v>
      </c>
    </row>
    <row r="123" spans="1:75">
      <c r="A123" s="75">
        <v>40349</v>
      </c>
      <c r="B123" s="75"/>
      <c r="C123" s="262">
        <f t="shared" ref="C123:S123" si="129">ROUND((C39-C40),2)</f>
        <v>0</v>
      </c>
      <c r="D123" s="263">
        <f t="shared" si="129"/>
        <v>0</v>
      </c>
      <c r="E123" s="263">
        <f t="shared" si="129"/>
        <v>0</v>
      </c>
      <c r="F123" s="263">
        <f t="shared" si="129"/>
        <v>0</v>
      </c>
      <c r="G123" s="263">
        <f t="shared" si="129"/>
        <v>0</v>
      </c>
      <c r="H123" s="263">
        <f t="shared" si="129"/>
        <v>0</v>
      </c>
      <c r="I123" s="263">
        <f t="shared" si="129"/>
        <v>0</v>
      </c>
      <c r="J123" s="263">
        <f t="shared" si="129"/>
        <v>0</v>
      </c>
      <c r="K123" s="263">
        <f t="shared" si="129"/>
        <v>0</v>
      </c>
      <c r="L123" s="263">
        <f t="shared" si="129"/>
        <v>0</v>
      </c>
      <c r="M123" s="263">
        <f t="shared" si="129"/>
        <v>0</v>
      </c>
      <c r="N123" s="263">
        <f t="shared" si="129"/>
        <v>0</v>
      </c>
      <c r="O123" s="263">
        <f t="shared" si="129"/>
        <v>0</v>
      </c>
      <c r="P123" s="263">
        <f t="shared" si="129"/>
        <v>0</v>
      </c>
      <c r="Q123" s="263">
        <f t="shared" si="129"/>
        <v>0</v>
      </c>
      <c r="R123" s="263">
        <f t="shared" si="129"/>
        <v>0</v>
      </c>
      <c r="S123" s="208">
        <f t="shared" si="129"/>
        <v>0</v>
      </c>
      <c r="T123" s="246">
        <f t="shared" si="107"/>
        <v>0</v>
      </c>
      <c r="U123" s="75">
        <v>40349</v>
      </c>
      <c r="V123" s="257"/>
      <c r="W123" s="231"/>
      <c r="X123" s="231"/>
      <c r="Y123" s="231"/>
      <c r="Z123" s="231"/>
      <c r="AA123" s="231"/>
      <c r="AB123" s="231"/>
      <c r="AC123" s="231"/>
      <c r="AD123" s="231"/>
      <c r="AE123" s="231"/>
      <c r="AF123" s="231"/>
      <c r="AG123" s="231"/>
      <c r="AH123" s="231"/>
      <c r="AI123" s="231"/>
      <c r="AJ123" s="231"/>
      <c r="AK123" s="231"/>
      <c r="AL123" s="231"/>
      <c r="AM123" s="232"/>
      <c r="AN123" s="75">
        <v>40349</v>
      </c>
      <c r="AO123" s="233">
        <f t="shared" si="89"/>
        <v>0</v>
      </c>
      <c r="AP123" s="231">
        <f t="shared" si="90"/>
        <v>0</v>
      </c>
      <c r="AQ123" s="231">
        <f t="shared" si="91"/>
        <v>0</v>
      </c>
      <c r="AR123" s="231">
        <f t="shared" si="92"/>
        <v>0</v>
      </c>
      <c r="AS123" s="231">
        <f t="shared" si="93"/>
        <v>0</v>
      </c>
      <c r="AT123" s="231">
        <f t="shared" si="94"/>
        <v>0</v>
      </c>
      <c r="AU123" s="231">
        <f t="shared" si="95"/>
        <v>0</v>
      </c>
      <c r="AV123" s="231">
        <f t="shared" si="96"/>
        <v>0</v>
      </c>
      <c r="AW123" s="231">
        <f t="shared" si="97"/>
        <v>0</v>
      </c>
      <c r="AX123" s="231">
        <f t="shared" si="98"/>
        <v>0</v>
      </c>
      <c r="AY123" s="231">
        <f t="shared" si="99"/>
        <v>0</v>
      </c>
      <c r="AZ123" s="231">
        <f t="shared" si="100"/>
        <v>0</v>
      </c>
      <c r="BA123" s="231">
        <f t="shared" si="101"/>
        <v>0</v>
      </c>
      <c r="BB123" s="231">
        <f t="shared" si="102"/>
        <v>0</v>
      </c>
      <c r="BC123" s="231">
        <f t="shared" si="103"/>
        <v>0</v>
      </c>
      <c r="BD123" s="231">
        <f t="shared" si="104"/>
        <v>0</v>
      </c>
      <c r="BE123" s="232">
        <f t="shared" si="105"/>
        <v>0</v>
      </c>
      <c r="BF123" s="75">
        <v>40349</v>
      </c>
      <c r="BG123" s="258">
        <f t="shared" si="110"/>
        <v>0</v>
      </c>
      <c r="BH123" s="259">
        <f t="shared" si="111"/>
        <v>0</v>
      </c>
      <c r="BI123" s="259">
        <f t="shared" si="112"/>
        <v>0</v>
      </c>
      <c r="BJ123" s="259">
        <f t="shared" si="113"/>
        <v>0</v>
      </c>
      <c r="BK123" s="259">
        <f t="shared" si="114"/>
        <v>0</v>
      </c>
      <c r="BL123" s="259">
        <f t="shared" si="115"/>
        <v>0</v>
      </c>
      <c r="BM123" s="259">
        <f t="shared" si="116"/>
        <v>0</v>
      </c>
      <c r="BN123" s="259">
        <f t="shared" si="117"/>
        <v>0</v>
      </c>
      <c r="BO123" s="259">
        <f t="shared" si="118"/>
        <v>0</v>
      </c>
      <c r="BP123" s="259">
        <f t="shared" si="119"/>
        <v>0</v>
      </c>
      <c r="BQ123" s="259">
        <f t="shared" si="120"/>
        <v>0</v>
      </c>
      <c r="BR123" s="259">
        <f t="shared" si="121"/>
        <v>0</v>
      </c>
      <c r="BS123" s="259">
        <f t="shared" si="122"/>
        <v>0</v>
      </c>
      <c r="BT123" s="259">
        <f t="shared" si="123"/>
        <v>0</v>
      </c>
      <c r="BU123" s="259">
        <f t="shared" si="124"/>
        <v>0</v>
      </c>
      <c r="BV123" s="259">
        <f t="shared" si="125"/>
        <v>0</v>
      </c>
      <c r="BW123" s="260">
        <f t="shared" si="126"/>
        <v>0</v>
      </c>
    </row>
    <row r="124" spans="1:75">
      <c r="A124" s="75">
        <v>40379</v>
      </c>
      <c r="B124" s="75"/>
      <c r="C124" s="262">
        <f t="shared" ref="C124:S124" si="130">ROUND((C40-C41),2)</f>
        <v>0</v>
      </c>
      <c r="D124" s="263">
        <f t="shared" si="130"/>
        <v>0</v>
      </c>
      <c r="E124" s="263">
        <f t="shared" si="130"/>
        <v>0</v>
      </c>
      <c r="F124" s="263">
        <f t="shared" si="130"/>
        <v>0</v>
      </c>
      <c r="G124" s="263">
        <f t="shared" si="130"/>
        <v>0</v>
      </c>
      <c r="H124" s="263">
        <f t="shared" si="130"/>
        <v>0</v>
      </c>
      <c r="I124" s="263">
        <f t="shared" si="130"/>
        <v>0</v>
      </c>
      <c r="J124" s="263">
        <f t="shared" si="130"/>
        <v>0</v>
      </c>
      <c r="K124" s="263">
        <f t="shared" si="130"/>
        <v>0</v>
      </c>
      <c r="L124" s="263">
        <f t="shared" si="130"/>
        <v>0</v>
      </c>
      <c r="M124" s="263">
        <f t="shared" si="130"/>
        <v>0</v>
      </c>
      <c r="N124" s="263">
        <f t="shared" si="130"/>
        <v>0</v>
      </c>
      <c r="O124" s="263">
        <f t="shared" si="130"/>
        <v>0</v>
      </c>
      <c r="P124" s="263">
        <f t="shared" si="130"/>
        <v>0</v>
      </c>
      <c r="Q124" s="263">
        <f t="shared" si="130"/>
        <v>0</v>
      </c>
      <c r="R124" s="263">
        <f t="shared" si="130"/>
        <v>0</v>
      </c>
      <c r="S124" s="208">
        <f t="shared" si="130"/>
        <v>0</v>
      </c>
      <c r="T124" s="246">
        <f t="shared" si="107"/>
        <v>0</v>
      </c>
      <c r="U124" s="75">
        <v>40379</v>
      </c>
      <c r="V124" s="257"/>
      <c r="W124" s="231"/>
      <c r="X124" s="231"/>
      <c r="Y124" s="231"/>
      <c r="Z124" s="231"/>
      <c r="AA124" s="231"/>
      <c r="AB124" s="231"/>
      <c r="AC124" s="231"/>
      <c r="AD124" s="231"/>
      <c r="AE124" s="231"/>
      <c r="AF124" s="231"/>
      <c r="AG124" s="231"/>
      <c r="AH124" s="231"/>
      <c r="AI124" s="231"/>
      <c r="AJ124" s="231"/>
      <c r="AK124" s="231"/>
      <c r="AL124" s="231"/>
      <c r="AM124" s="232"/>
      <c r="AN124" s="75">
        <v>40379</v>
      </c>
      <c r="AO124" s="233">
        <f t="shared" si="89"/>
        <v>0</v>
      </c>
      <c r="AP124" s="231">
        <f t="shared" si="90"/>
        <v>0</v>
      </c>
      <c r="AQ124" s="231">
        <f t="shared" si="91"/>
        <v>0</v>
      </c>
      <c r="AR124" s="231">
        <f t="shared" si="92"/>
        <v>0</v>
      </c>
      <c r="AS124" s="231">
        <f t="shared" si="93"/>
        <v>0</v>
      </c>
      <c r="AT124" s="231">
        <f t="shared" si="94"/>
        <v>0</v>
      </c>
      <c r="AU124" s="231">
        <f t="shared" si="95"/>
        <v>0</v>
      </c>
      <c r="AV124" s="231">
        <f t="shared" si="96"/>
        <v>0</v>
      </c>
      <c r="AW124" s="231">
        <f t="shared" si="97"/>
        <v>0</v>
      </c>
      <c r="AX124" s="231">
        <f t="shared" si="98"/>
        <v>0</v>
      </c>
      <c r="AY124" s="231">
        <f t="shared" si="99"/>
        <v>0</v>
      </c>
      <c r="AZ124" s="231">
        <f t="shared" si="100"/>
        <v>0</v>
      </c>
      <c r="BA124" s="231">
        <f t="shared" si="101"/>
        <v>0</v>
      </c>
      <c r="BB124" s="231">
        <f t="shared" si="102"/>
        <v>0</v>
      </c>
      <c r="BC124" s="231">
        <f t="shared" si="103"/>
        <v>0</v>
      </c>
      <c r="BD124" s="231">
        <f t="shared" si="104"/>
        <v>0</v>
      </c>
      <c r="BE124" s="232">
        <f t="shared" si="105"/>
        <v>0</v>
      </c>
      <c r="BF124" s="75">
        <v>40379</v>
      </c>
      <c r="BG124" s="258">
        <f t="shared" si="110"/>
        <v>0</v>
      </c>
      <c r="BH124" s="259">
        <f t="shared" si="111"/>
        <v>0</v>
      </c>
      <c r="BI124" s="259">
        <f t="shared" si="112"/>
        <v>0</v>
      </c>
      <c r="BJ124" s="259">
        <f t="shared" si="113"/>
        <v>0</v>
      </c>
      <c r="BK124" s="259">
        <f t="shared" si="114"/>
        <v>0</v>
      </c>
      <c r="BL124" s="259">
        <f t="shared" si="115"/>
        <v>0</v>
      </c>
      <c r="BM124" s="259">
        <f t="shared" si="116"/>
        <v>0</v>
      </c>
      <c r="BN124" s="259">
        <f t="shared" si="117"/>
        <v>0</v>
      </c>
      <c r="BO124" s="259">
        <f t="shared" si="118"/>
        <v>0</v>
      </c>
      <c r="BP124" s="259">
        <f t="shared" si="119"/>
        <v>0</v>
      </c>
      <c r="BQ124" s="259">
        <f t="shared" si="120"/>
        <v>0</v>
      </c>
      <c r="BR124" s="259">
        <f t="shared" si="121"/>
        <v>0</v>
      </c>
      <c r="BS124" s="259">
        <f t="shared" si="122"/>
        <v>0</v>
      </c>
      <c r="BT124" s="259">
        <f t="shared" si="123"/>
        <v>0</v>
      </c>
      <c r="BU124" s="259">
        <f t="shared" si="124"/>
        <v>0</v>
      </c>
      <c r="BV124" s="259">
        <f t="shared" si="125"/>
        <v>0</v>
      </c>
      <c r="BW124" s="260">
        <f t="shared" si="126"/>
        <v>0</v>
      </c>
    </row>
    <row r="125" spans="1:75" s="587" customFormat="1">
      <c r="A125" s="575">
        <v>40410</v>
      </c>
      <c r="B125" s="575"/>
      <c r="C125" s="576">
        <f t="shared" ref="C125:S125" si="131">ROUND((C41-C42),2)</f>
        <v>0</v>
      </c>
      <c r="D125" s="577">
        <f t="shared" si="131"/>
        <v>0</v>
      </c>
      <c r="E125" s="577">
        <f t="shared" si="131"/>
        <v>0</v>
      </c>
      <c r="F125" s="684">
        <f t="shared" si="131"/>
        <v>50842984.350000001</v>
      </c>
      <c r="G125" s="684">
        <f t="shared" si="131"/>
        <v>14017916.83</v>
      </c>
      <c r="H125" s="684">
        <f t="shared" si="131"/>
        <v>120980381.25</v>
      </c>
      <c r="I125" s="684">
        <f t="shared" si="131"/>
        <v>57078434.299999997</v>
      </c>
      <c r="J125" s="684">
        <f t="shared" si="131"/>
        <v>38276419.509999998</v>
      </c>
      <c r="K125" s="577">
        <f t="shared" si="131"/>
        <v>0</v>
      </c>
      <c r="L125" s="577">
        <f t="shared" si="131"/>
        <v>0</v>
      </c>
      <c r="M125" s="577">
        <f t="shared" si="131"/>
        <v>0</v>
      </c>
      <c r="N125" s="577">
        <f t="shared" si="131"/>
        <v>0</v>
      </c>
      <c r="O125" s="577">
        <f t="shared" si="131"/>
        <v>0</v>
      </c>
      <c r="P125" s="577">
        <f t="shared" si="131"/>
        <v>0</v>
      </c>
      <c r="Q125" s="577">
        <f t="shared" si="131"/>
        <v>0</v>
      </c>
      <c r="R125" s="577">
        <f t="shared" si="131"/>
        <v>0</v>
      </c>
      <c r="S125" s="578">
        <f t="shared" si="131"/>
        <v>0</v>
      </c>
      <c r="T125" s="579">
        <f t="shared" si="107"/>
        <v>281196136.24000001</v>
      </c>
      <c r="U125" s="575">
        <v>40410</v>
      </c>
      <c r="V125" s="580"/>
      <c r="W125" s="581"/>
      <c r="X125" s="581"/>
      <c r="Y125" s="593">
        <v>50842984.350000001</v>
      </c>
      <c r="Z125" s="593">
        <v>14017916.83</v>
      </c>
      <c r="AA125" s="593">
        <v>120980381.25</v>
      </c>
      <c r="AB125" s="593">
        <v>57078434.299999997</v>
      </c>
      <c r="AC125" s="593">
        <v>38276419.509999998</v>
      </c>
      <c r="AD125" s="581"/>
      <c r="AE125" s="581"/>
      <c r="AF125" s="581"/>
      <c r="AG125" s="581"/>
      <c r="AH125" s="581"/>
      <c r="AI125" s="581"/>
      <c r="AJ125" s="581"/>
      <c r="AK125" s="581"/>
      <c r="AL125" s="581"/>
      <c r="AM125" s="582"/>
      <c r="AN125" s="575">
        <v>40410</v>
      </c>
      <c r="AO125" s="583">
        <f t="shared" si="89"/>
        <v>0</v>
      </c>
      <c r="AP125" s="581">
        <f t="shared" si="90"/>
        <v>0</v>
      </c>
      <c r="AQ125" s="581">
        <f t="shared" si="91"/>
        <v>0</v>
      </c>
      <c r="AR125" s="578">
        <f>F125-Y125</f>
        <v>0</v>
      </c>
      <c r="AS125" s="578">
        <f>G125-Z125</f>
        <v>0</v>
      </c>
      <c r="AT125" s="578">
        <f>H125-AA125</f>
        <v>0</v>
      </c>
      <c r="AU125" s="578">
        <f>I125-AB125</f>
        <v>0</v>
      </c>
      <c r="AV125" s="578">
        <f>J125-AC125</f>
        <v>0</v>
      </c>
      <c r="AW125" s="581">
        <f t="shared" si="97"/>
        <v>0</v>
      </c>
      <c r="AX125" s="581">
        <f t="shared" si="98"/>
        <v>0</v>
      </c>
      <c r="AY125" s="581">
        <f t="shared" si="99"/>
        <v>0</v>
      </c>
      <c r="AZ125" s="581">
        <f t="shared" si="100"/>
        <v>0</v>
      </c>
      <c r="BA125" s="581">
        <f t="shared" si="101"/>
        <v>0</v>
      </c>
      <c r="BB125" s="581">
        <f t="shared" si="102"/>
        <v>0</v>
      </c>
      <c r="BC125" s="581">
        <f t="shared" si="103"/>
        <v>0</v>
      </c>
      <c r="BD125" s="581">
        <f t="shared" si="104"/>
        <v>0</v>
      </c>
      <c r="BE125" s="582">
        <f t="shared" si="105"/>
        <v>0</v>
      </c>
      <c r="BF125" s="575">
        <v>40410</v>
      </c>
      <c r="BG125" s="584">
        <f t="shared" si="110"/>
        <v>0</v>
      </c>
      <c r="BH125" s="585">
        <f t="shared" si="111"/>
        <v>0</v>
      </c>
      <c r="BI125" s="585">
        <f t="shared" si="112"/>
        <v>0</v>
      </c>
      <c r="BJ125" s="585">
        <f t="shared" si="113"/>
        <v>0</v>
      </c>
      <c r="BK125" s="585">
        <f t="shared" si="114"/>
        <v>0</v>
      </c>
      <c r="BL125" s="585">
        <f t="shared" si="115"/>
        <v>0</v>
      </c>
      <c r="BM125" s="585">
        <f t="shared" si="116"/>
        <v>0</v>
      </c>
      <c r="BN125" s="585">
        <f t="shared" si="117"/>
        <v>0</v>
      </c>
      <c r="BO125" s="585">
        <f t="shared" si="118"/>
        <v>0</v>
      </c>
      <c r="BP125" s="585">
        <f t="shared" si="119"/>
        <v>0</v>
      </c>
      <c r="BQ125" s="585">
        <f t="shared" si="120"/>
        <v>0</v>
      </c>
      <c r="BR125" s="585">
        <f t="shared" si="121"/>
        <v>0</v>
      </c>
      <c r="BS125" s="585">
        <f t="shared" si="122"/>
        <v>0</v>
      </c>
      <c r="BT125" s="585">
        <f t="shared" si="123"/>
        <v>0</v>
      </c>
      <c r="BU125" s="585">
        <f t="shared" si="124"/>
        <v>0</v>
      </c>
      <c r="BV125" s="585">
        <f t="shared" si="125"/>
        <v>0</v>
      </c>
      <c r="BW125" s="586">
        <f t="shared" si="126"/>
        <v>0</v>
      </c>
    </row>
    <row r="126" spans="1:75">
      <c r="A126" s="75">
        <v>40441</v>
      </c>
      <c r="B126" s="75"/>
      <c r="C126" s="262">
        <f t="shared" ref="C126:S126" si="132">ROUND((C42-C43),2)</f>
        <v>0</v>
      </c>
      <c r="D126" s="263">
        <f t="shared" si="132"/>
        <v>0</v>
      </c>
      <c r="E126" s="263">
        <f t="shared" si="132"/>
        <v>0</v>
      </c>
      <c r="F126" s="685">
        <f t="shared" si="132"/>
        <v>0</v>
      </c>
      <c r="G126" s="685">
        <f t="shared" si="132"/>
        <v>0</v>
      </c>
      <c r="H126" s="685">
        <f t="shared" si="132"/>
        <v>0</v>
      </c>
      <c r="I126" s="685">
        <f t="shared" si="132"/>
        <v>0</v>
      </c>
      <c r="J126" s="685">
        <f t="shared" si="132"/>
        <v>0</v>
      </c>
      <c r="K126" s="263">
        <f t="shared" si="132"/>
        <v>0</v>
      </c>
      <c r="L126" s="263">
        <f t="shared" si="132"/>
        <v>0</v>
      </c>
      <c r="M126" s="263">
        <f t="shared" si="132"/>
        <v>0</v>
      </c>
      <c r="N126" s="263">
        <f t="shared" si="132"/>
        <v>0</v>
      </c>
      <c r="O126" s="263">
        <f t="shared" si="132"/>
        <v>0</v>
      </c>
      <c r="P126" s="263">
        <f t="shared" si="132"/>
        <v>0</v>
      </c>
      <c r="Q126" s="263">
        <f t="shared" si="132"/>
        <v>0</v>
      </c>
      <c r="R126" s="263">
        <f t="shared" si="132"/>
        <v>0</v>
      </c>
      <c r="S126" s="208">
        <f t="shared" si="132"/>
        <v>0</v>
      </c>
      <c r="T126" s="246">
        <f t="shared" si="107"/>
        <v>0</v>
      </c>
      <c r="U126" s="75">
        <v>40441</v>
      </c>
      <c r="V126" s="257"/>
      <c r="W126" s="231"/>
      <c r="X126" s="231"/>
      <c r="Y126" s="231"/>
      <c r="Z126" s="231"/>
      <c r="AA126" s="231"/>
      <c r="AB126" s="231"/>
      <c r="AC126" s="231"/>
      <c r="AD126" s="231"/>
      <c r="AE126" s="231"/>
      <c r="AF126" s="231"/>
      <c r="AG126" s="231"/>
      <c r="AH126" s="231"/>
      <c r="AI126" s="231"/>
      <c r="AJ126" s="231"/>
      <c r="AK126" s="231"/>
      <c r="AL126" s="231"/>
      <c r="AM126" s="232"/>
      <c r="AN126" s="75">
        <v>40441</v>
      </c>
      <c r="AO126" s="233">
        <f t="shared" si="89"/>
        <v>0</v>
      </c>
      <c r="AP126" s="231">
        <f t="shared" si="90"/>
        <v>0</v>
      </c>
      <c r="AQ126" s="231">
        <f t="shared" si="91"/>
        <v>0</v>
      </c>
      <c r="AR126" s="231">
        <f t="shared" si="92"/>
        <v>0</v>
      </c>
      <c r="AS126" s="231">
        <f t="shared" si="93"/>
        <v>0</v>
      </c>
      <c r="AT126" s="231">
        <f t="shared" si="94"/>
        <v>0</v>
      </c>
      <c r="AU126" s="231">
        <f t="shared" si="95"/>
        <v>0</v>
      </c>
      <c r="AV126" s="231">
        <f t="shared" si="96"/>
        <v>0</v>
      </c>
      <c r="AW126" s="231">
        <f t="shared" si="97"/>
        <v>0</v>
      </c>
      <c r="AX126" s="231">
        <f t="shared" si="98"/>
        <v>0</v>
      </c>
      <c r="AY126" s="231">
        <f t="shared" si="99"/>
        <v>0</v>
      </c>
      <c r="AZ126" s="231">
        <f t="shared" si="100"/>
        <v>0</v>
      </c>
      <c r="BA126" s="231">
        <f t="shared" si="101"/>
        <v>0</v>
      </c>
      <c r="BB126" s="231">
        <f t="shared" si="102"/>
        <v>0</v>
      </c>
      <c r="BC126" s="231">
        <f t="shared" si="103"/>
        <v>0</v>
      </c>
      <c r="BD126" s="231">
        <f t="shared" si="104"/>
        <v>0</v>
      </c>
      <c r="BE126" s="232">
        <f t="shared" si="105"/>
        <v>0</v>
      </c>
      <c r="BF126" s="75">
        <v>40441</v>
      </c>
      <c r="BG126" s="258">
        <f t="shared" si="110"/>
        <v>0</v>
      </c>
      <c r="BH126" s="259">
        <f t="shared" si="111"/>
        <v>0</v>
      </c>
      <c r="BI126" s="259">
        <f t="shared" si="112"/>
        <v>0</v>
      </c>
      <c r="BJ126" s="259">
        <f t="shared" si="113"/>
        <v>0</v>
      </c>
      <c r="BK126" s="259">
        <f t="shared" si="114"/>
        <v>0</v>
      </c>
      <c r="BL126" s="259">
        <f t="shared" si="115"/>
        <v>0</v>
      </c>
      <c r="BM126" s="259">
        <f t="shared" si="116"/>
        <v>0</v>
      </c>
      <c r="BN126" s="259">
        <f t="shared" si="117"/>
        <v>0</v>
      </c>
      <c r="BO126" s="259">
        <f t="shared" si="118"/>
        <v>0</v>
      </c>
      <c r="BP126" s="259">
        <f t="shared" si="119"/>
        <v>0</v>
      </c>
      <c r="BQ126" s="259">
        <f t="shared" si="120"/>
        <v>0</v>
      </c>
      <c r="BR126" s="259">
        <f t="shared" si="121"/>
        <v>0</v>
      </c>
      <c r="BS126" s="259">
        <f t="shared" si="122"/>
        <v>0</v>
      </c>
      <c r="BT126" s="259">
        <f t="shared" si="123"/>
        <v>0</v>
      </c>
      <c r="BU126" s="259">
        <f t="shared" si="124"/>
        <v>0</v>
      </c>
      <c r="BV126" s="259">
        <f t="shared" si="125"/>
        <v>0</v>
      </c>
      <c r="BW126" s="260">
        <f t="shared" si="126"/>
        <v>0</v>
      </c>
    </row>
    <row r="127" spans="1:75">
      <c r="A127" s="75">
        <v>40471</v>
      </c>
      <c r="B127" s="75"/>
      <c r="C127" s="262">
        <f t="shared" ref="C127:S127" si="133">ROUND((C43-C44),2)</f>
        <v>0</v>
      </c>
      <c r="D127" s="263">
        <f t="shared" si="133"/>
        <v>0</v>
      </c>
      <c r="E127" s="263">
        <f t="shared" si="133"/>
        <v>0</v>
      </c>
      <c r="F127" s="685">
        <f t="shared" si="133"/>
        <v>0</v>
      </c>
      <c r="G127" s="685">
        <f t="shared" si="133"/>
        <v>0</v>
      </c>
      <c r="H127" s="685">
        <f t="shared" si="133"/>
        <v>0</v>
      </c>
      <c r="I127" s="685">
        <f t="shared" si="133"/>
        <v>0</v>
      </c>
      <c r="J127" s="685">
        <f t="shared" si="133"/>
        <v>0</v>
      </c>
      <c r="K127" s="263">
        <f t="shared" si="133"/>
        <v>0</v>
      </c>
      <c r="L127" s="263">
        <f t="shared" si="133"/>
        <v>0</v>
      </c>
      <c r="M127" s="263">
        <f t="shared" si="133"/>
        <v>0</v>
      </c>
      <c r="N127" s="263">
        <f t="shared" si="133"/>
        <v>0</v>
      </c>
      <c r="O127" s="263">
        <f t="shared" si="133"/>
        <v>0</v>
      </c>
      <c r="P127" s="263">
        <f t="shared" si="133"/>
        <v>0</v>
      </c>
      <c r="Q127" s="263">
        <f t="shared" si="133"/>
        <v>0</v>
      </c>
      <c r="R127" s="263">
        <f t="shared" si="133"/>
        <v>0</v>
      </c>
      <c r="S127" s="208">
        <f t="shared" si="133"/>
        <v>0</v>
      </c>
      <c r="T127" s="246">
        <f t="shared" si="107"/>
        <v>0</v>
      </c>
      <c r="U127" s="75">
        <v>40471</v>
      </c>
      <c r="V127" s="257"/>
      <c r="W127" s="231"/>
      <c r="X127" s="231"/>
      <c r="Y127" s="231"/>
      <c r="Z127" s="231"/>
      <c r="AA127" s="231"/>
      <c r="AB127" s="231"/>
      <c r="AC127" s="231"/>
      <c r="AD127" s="231"/>
      <c r="AE127" s="231"/>
      <c r="AF127" s="231"/>
      <c r="AG127" s="231"/>
      <c r="AH127" s="231"/>
      <c r="AI127" s="231"/>
      <c r="AJ127" s="231"/>
      <c r="AK127" s="231"/>
      <c r="AL127" s="231"/>
      <c r="AM127" s="232"/>
      <c r="AN127" s="75">
        <v>40471</v>
      </c>
      <c r="AO127" s="233">
        <f t="shared" si="89"/>
        <v>0</v>
      </c>
      <c r="AP127" s="231">
        <f t="shared" si="90"/>
        <v>0</v>
      </c>
      <c r="AQ127" s="231">
        <f t="shared" si="91"/>
        <v>0</v>
      </c>
      <c r="AR127" s="231">
        <f t="shared" si="92"/>
        <v>0</v>
      </c>
      <c r="AS127" s="231">
        <f t="shared" si="93"/>
        <v>0</v>
      </c>
      <c r="AT127" s="231">
        <f t="shared" si="94"/>
        <v>0</v>
      </c>
      <c r="AU127" s="231">
        <f t="shared" si="95"/>
        <v>0</v>
      </c>
      <c r="AV127" s="231">
        <f t="shared" si="96"/>
        <v>0</v>
      </c>
      <c r="AW127" s="231">
        <f t="shared" si="97"/>
        <v>0</v>
      </c>
      <c r="AX127" s="231">
        <f t="shared" si="98"/>
        <v>0</v>
      </c>
      <c r="AY127" s="231">
        <f t="shared" si="99"/>
        <v>0</v>
      </c>
      <c r="AZ127" s="231">
        <f t="shared" si="100"/>
        <v>0</v>
      </c>
      <c r="BA127" s="231">
        <f t="shared" si="101"/>
        <v>0</v>
      </c>
      <c r="BB127" s="231">
        <f t="shared" si="102"/>
        <v>0</v>
      </c>
      <c r="BC127" s="231">
        <f t="shared" si="103"/>
        <v>0</v>
      </c>
      <c r="BD127" s="231">
        <f t="shared" si="104"/>
        <v>0</v>
      </c>
      <c r="BE127" s="232">
        <f t="shared" si="105"/>
        <v>0</v>
      </c>
      <c r="BF127" s="75">
        <v>40471</v>
      </c>
      <c r="BG127" s="258">
        <f t="shared" si="110"/>
        <v>0</v>
      </c>
      <c r="BH127" s="259">
        <f t="shared" si="111"/>
        <v>0</v>
      </c>
      <c r="BI127" s="259">
        <f t="shared" si="112"/>
        <v>0</v>
      </c>
      <c r="BJ127" s="259">
        <f t="shared" si="113"/>
        <v>0</v>
      </c>
      <c r="BK127" s="259">
        <f t="shared" si="114"/>
        <v>0</v>
      </c>
      <c r="BL127" s="259">
        <f t="shared" si="115"/>
        <v>0</v>
      </c>
      <c r="BM127" s="259">
        <f t="shared" si="116"/>
        <v>0</v>
      </c>
      <c r="BN127" s="259">
        <f t="shared" si="117"/>
        <v>0</v>
      </c>
      <c r="BO127" s="259">
        <f t="shared" si="118"/>
        <v>0</v>
      </c>
      <c r="BP127" s="259">
        <f t="shared" si="119"/>
        <v>0</v>
      </c>
      <c r="BQ127" s="259">
        <f t="shared" si="120"/>
        <v>0</v>
      </c>
      <c r="BR127" s="259">
        <f t="shared" si="121"/>
        <v>0</v>
      </c>
      <c r="BS127" s="259">
        <f t="shared" si="122"/>
        <v>0</v>
      </c>
      <c r="BT127" s="259">
        <f t="shared" si="123"/>
        <v>0</v>
      </c>
      <c r="BU127" s="259">
        <f t="shared" si="124"/>
        <v>0</v>
      </c>
      <c r="BV127" s="259">
        <f t="shared" si="125"/>
        <v>0</v>
      </c>
      <c r="BW127" s="260">
        <f t="shared" si="126"/>
        <v>0</v>
      </c>
    </row>
    <row r="128" spans="1:75" s="587" customFormat="1">
      <c r="A128" s="575">
        <v>40504</v>
      </c>
      <c r="B128" s="575"/>
      <c r="C128" s="576">
        <f t="shared" ref="C128:S128" si="134">ROUND((C44-C45),2)</f>
        <v>0</v>
      </c>
      <c r="D128" s="577">
        <f t="shared" si="134"/>
        <v>0</v>
      </c>
      <c r="E128" s="577">
        <f t="shared" si="134"/>
        <v>0</v>
      </c>
      <c r="F128" s="684">
        <f t="shared" si="134"/>
        <v>0</v>
      </c>
      <c r="G128" s="684">
        <f t="shared" si="134"/>
        <v>0</v>
      </c>
      <c r="H128" s="684">
        <f t="shared" si="134"/>
        <v>143518373.03</v>
      </c>
      <c r="I128" s="684">
        <f t="shared" si="134"/>
        <v>67711838.409999996</v>
      </c>
      <c r="J128" s="684">
        <f t="shared" si="134"/>
        <v>45407109.789999999</v>
      </c>
      <c r="K128" s="577">
        <f t="shared" si="134"/>
        <v>0</v>
      </c>
      <c r="L128" s="577">
        <f t="shared" si="134"/>
        <v>0</v>
      </c>
      <c r="M128" s="577">
        <f t="shared" si="134"/>
        <v>0</v>
      </c>
      <c r="N128" s="577">
        <f t="shared" si="134"/>
        <v>0</v>
      </c>
      <c r="O128" s="577">
        <f t="shared" si="134"/>
        <v>0</v>
      </c>
      <c r="P128" s="577">
        <f t="shared" si="134"/>
        <v>0</v>
      </c>
      <c r="Q128" s="577">
        <f t="shared" si="134"/>
        <v>0</v>
      </c>
      <c r="R128" s="577">
        <f t="shared" si="134"/>
        <v>0</v>
      </c>
      <c r="S128" s="578">
        <f t="shared" si="134"/>
        <v>0</v>
      </c>
      <c r="T128" s="579">
        <f t="shared" si="107"/>
        <v>256637321.22999999</v>
      </c>
      <c r="U128" s="575">
        <v>40504</v>
      </c>
      <c r="V128" s="580"/>
      <c r="W128" s="581"/>
      <c r="X128" s="581"/>
      <c r="Y128" s="581"/>
      <c r="Z128" s="581"/>
      <c r="AA128" s="593">
        <v>143518373.03</v>
      </c>
      <c r="AB128" s="593">
        <v>67711838.409999996</v>
      </c>
      <c r="AC128" s="593">
        <v>45407109.789999999</v>
      </c>
      <c r="AD128" s="581"/>
      <c r="AE128" s="581"/>
      <c r="AF128" s="581"/>
      <c r="AG128" s="581"/>
      <c r="AH128" s="581"/>
      <c r="AI128" s="581"/>
      <c r="AJ128" s="581"/>
      <c r="AK128" s="581"/>
      <c r="AL128" s="581"/>
      <c r="AM128" s="582"/>
      <c r="AN128" s="575">
        <v>40504</v>
      </c>
      <c r="AO128" s="583">
        <f t="shared" si="89"/>
        <v>0</v>
      </c>
      <c r="AP128" s="581">
        <f t="shared" si="90"/>
        <v>0</v>
      </c>
      <c r="AQ128" s="581">
        <f t="shared" si="91"/>
        <v>0</v>
      </c>
      <c r="AR128" s="581">
        <f t="shared" si="92"/>
        <v>0</v>
      </c>
      <c r="AS128" s="581">
        <f t="shared" si="93"/>
        <v>0</v>
      </c>
      <c r="AT128" s="578">
        <f>H128-AA128</f>
        <v>0</v>
      </c>
      <c r="AU128" s="578">
        <f>I128-AB128</f>
        <v>0</v>
      </c>
      <c r="AV128" s="578">
        <f>J128-AC128</f>
        <v>0</v>
      </c>
      <c r="AW128" s="581">
        <f t="shared" si="97"/>
        <v>0</v>
      </c>
      <c r="AX128" s="581">
        <f t="shared" si="98"/>
        <v>0</v>
      </c>
      <c r="AY128" s="581">
        <f t="shared" si="99"/>
        <v>0</v>
      </c>
      <c r="AZ128" s="581">
        <f t="shared" si="100"/>
        <v>0</v>
      </c>
      <c r="BA128" s="581">
        <f t="shared" si="101"/>
        <v>0</v>
      </c>
      <c r="BB128" s="581">
        <f t="shared" si="102"/>
        <v>0</v>
      </c>
      <c r="BC128" s="581">
        <f t="shared" si="103"/>
        <v>0</v>
      </c>
      <c r="BD128" s="581">
        <f t="shared" si="104"/>
        <v>0</v>
      </c>
      <c r="BE128" s="582">
        <f t="shared" si="105"/>
        <v>0</v>
      </c>
      <c r="BF128" s="575">
        <v>40504</v>
      </c>
      <c r="BG128" s="584">
        <f t="shared" si="110"/>
        <v>0</v>
      </c>
      <c r="BH128" s="585">
        <f t="shared" si="111"/>
        <v>0</v>
      </c>
      <c r="BI128" s="585">
        <f t="shared" si="112"/>
        <v>0</v>
      </c>
      <c r="BJ128" s="585">
        <f t="shared" si="113"/>
        <v>0</v>
      </c>
      <c r="BK128" s="585">
        <f t="shared" si="114"/>
        <v>0</v>
      </c>
      <c r="BL128" s="585">
        <f t="shared" si="115"/>
        <v>0</v>
      </c>
      <c r="BM128" s="585">
        <f t="shared" si="116"/>
        <v>0</v>
      </c>
      <c r="BN128" s="585">
        <f t="shared" si="117"/>
        <v>0</v>
      </c>
      <c r="BO128" s="585">
        <f t="shared" si="118"/>
        <v>0</v>
      </c>
      <c r="BP128" s="585">
        <f t="shared" si="119"/>
        <v>0</v>
      </c>
      <c r="BQ128" s="585">
        <f t="shared" si="120"/>
        <v>0</v>
      </c>
      <c r="BR128" s="585">
        <f t="shared" si="121"/>
        <v>0</v>
      </c>
      <c r="BS128" s="585">
        <f t="shared" si="122"/>
        <v>0</v>
      </c>
      <c r="BT128" s="585">
        <f t="shared" si="123"/>
        <v>0</v>
      </c>
      <c r="BU128" s="585">
        <f t="shared" si="124"/>
        <v>0</v>
      </c>
      <c r="BV128" s="585">
        <f t="shared" si="125"/>
        <v>0</v>
      </c>
      <c r="BW128" s="586">
        <f t="shared" si="126"/>
        <v>0</v>
      </c>
    </row>
    <row r="129" spans="1:75">
      <c r="A129" s="75">
        <v>40532</v>
      </c>
      <c r="B129" s="75"/>
      <c r="C129" s="262">
        <f t="shared" ref="C129:S129" si="135">ROUND((C45-C46),2)</f>
        <v>0</v>
      </c>
      <c r="D129" s="263">
        <f t="shared" si="135"/>
        <v>0</v>
      </c>
      <c r="E129" s="263">
        <f t="shared" si="135"/>
        <v>0</v>
      </c>
      <c r="F129" s="685">
        <f t="shared" si="135"/>
        <v>0</v>
      </c>
      <c r="G129" s="685">
        <f t="shared" si="135"/>
        <v>0</v>
      </c>
      <c r="H129" s="685">
        <f t="shared" si="135"/>
        <v>0</v>
      </c>
      <c r="I129" s="685">
        <f t="shared" si="135"/>
        <v>0</v>
      </c>
      <c r="J129" s="685">
        <f t="shared" si="135"/>
        <v>0</v>
      </c>
      <c r="K129" s="263">
        <f t="shared" si="135"/>
        <v>0</v>
      </c>
      <c r="L129" s="263">
        <f t="shared" si="135"/>
        <v>0</v>
      </c>
      <c r="M129" s="263">
        <f t="shared" si="135"/>
        <v>0</v>
      </c>
      <c r="N129" s="263">
        <f t="shared" si="135"/>
        <v>0</v>
      </c>
      <c r="O129" s="263">
        <f t="shared" si="135"/>
        <v>0</v>
      </c>
      <c r="P129" s="263">
        <f t="shared" si="135"/>
        <v>0</v>
      </c>
      <c r="Q129" s="263">
        <f t="shared" si="135"/>
        <v>0</v>
      </c>
      <c r="R129" s="263">
        <f t="shared" si="135"/>
        <v>0</v>
      </c>
      <c r="S129" s="208">
        <f t="shared" si="135"/>
        <v>0</v>
      </c>
      <c r="T129" s="246">
        <f t="shared" si="107"/>
        <v>0</v>
      </c>
      <c r="U129" s="75">
        <v>40532</v>
      </c>
      <c r="V129" s="257"/>
      <c r="W129" s="231"/>
      <c r="X129" s="231"/>
      <c r="Y129" s="231"/>
      <c r="Z129" s="231"/>
      <c r="AA129" s="231"/>
      <c r="AB129" s="231"/>
      <c r="AC129" s="231"/>
      <c r="AD129" s="231"/>
      <c r="AE129" s="231"/>
      <c r="AF129" s="231"/>
      <c r="AG129" s="231"/>
      <c r="AH129" s="231"/>
      <c r="AI129" s="231"/>
      <c r="AJ129" s="231"/>
      <c r="AK129" s="231"/>
      <c r="AL129" s="231"/>
      <c r="AM129" s="232"/>
      <c r="AN129" s="75">
        <v>40532</v>
      </c>
      <c r="AO129" s="233">
        <f t="shared" si="89"/>
        <v>0</v>
      </c>
      <c r="AP129" s="231">
        <f t="shared" si="90"/>
        <v>0</v>
      </c>
      <c r="AQ129" s="231">
        <f t="shared" si="91"/>
        <v>0</v>
      </c>
      <c r="AR129" s="231">
        <f t="shared" si="92"/>
        <v>0</v>
      </c>
      <c r="AS129" s="231">
        <f t="shared" si="93"/>
        <v>0</v>
      </c>
      <c r="AT129" s="231">
        <f t="shared" si="94"/>
        <v>0</v>
      </c>
      <c r="AU129" s="231">
        <f t="shared" si="95"/>
        <v>0</v>
      </c>
      <c r="AV129" s="231">
        <f t="shared" si="96"/>
        <v>0</v>
      </c>
      <c r="AW129" s="231">
        <f t="shared" si="97"/>
        <v>0</v>
      </c>
      <c r="AX129" s="231">
        <f t="shared" si="98"/>
        <v>0</v>
      </c>
      <c r="AY129" s="231">
        <f t="shared" si="99"/>
        <v>0</v>
      </c>
      <c r="AZ129" s="231">
        <f t="shared" si="100"/>
        <v>0</v>
      </c>
      <c r="BA129" s="231">
        <f t="shared" si="101"/>
        <v>0</v>
      </c>
      <c r="BB129" s="231">
        <f t="shared" si="102"/>
        <v>0</v>
      </c>
      <c r="BC129" s="231">
        <f t="shared" si="103"/>
        <v>0</v>
      </c>
      <c r="BD129" s="231">
        <f t="shared" si="104"/>
        <v>0</v>
      </c>
      <c r="BE129" s="232">
        <f t="shared" si="105"/>
        <v>0</v>
      </c>
      <c r="BF129" s="75">
        <v>40532</v>
      </c>
      <c r="BG129" s="258">
        <f t="shared" si="110"/>
        <v>0</v>
      </c>
      <c r="BH129" s="259">
        <f t="shared" si="111"/>
        <v>0</v>
      </c>
      <c r="BI129" s="259">
        <f t="shared" si="112"/>
        <v>0</v>
      </c>
      <c r="BJ129" s="259">
        <f t="shared" si="113"/>
        <v>0</v>
      </c>
      <c r="BK129" s="259">
        <f t="shared" si="114"/>
        <v>0</v>
      </c>
      <c r="BL129" s="259">
        <f t="shared" si="115"/>
        <v>0</v>
      </c>
      <c r="BM129" s="259">
        <f t="shared" si="116"/>
        <v>0</v>
      </c>
      <c r="BN129" s="259">
        <f t="shared" si="117"/>
        <v>0</v>
      </c>
      <c r="BO129" s="259">
        <f t="shared" si="118"/>
        <v>0</v>
      </c>
      <c r="BP129" s="259">
        <f t="shared" si="119"/>
        <v>0</v>
      </c>
      <c r="BQ129" s="259">
        <f t="shared" si="120"/>
        <v>0</v>
      </c>
      <c r="BR129" s="259">
        <f t="shared" si="121"/>
        <v>0</v>
      </c>
      <c r="BS129" s="259">
        <f t="shared" si="122"/>
        <v>0</v>
      </c>
      <c r="BT129" s="259">
        <f t="shared" si="123"/>
        <v>0</v>
      </c>
      <c r="BU129" s="259">
        <f t="shared" si="124"/>
        <v>0</v>
      </c>
      <c r="BV129" s="259">
        <f t="shared" si="125"/>
        <v>0</v>
      </c>
      <c r="BW129" s="260">
        <f t="shared" si="126"/>
        <v>0</v>
      </c>
    </row>
    <row r="130" spans="1:75">
      <c r="A130" s="75">
        <v>40563</v>
      </c>
      <c r="B130" s="75"/>
      <c r="C130" s="262">
        <f t="shared" ref="C130:S130" si="136">ROUND((C46-C47),2)</f>
        <v>0</v>
      </c>
      <c r="D130" s="263">
        <f t="shared" si="136"/>
        <v>0</v>
      </c>
      <c r="E130" s="263">
        <f t="shared" si="136"/>
        <v>0</v>
      </c>
      <c r="F130" s="685">
        <f t="shared" si="136"/>
        <v>0</v>
      </c>
      <c r="G130" s="685">
        <f t="shared" si="136"/>
        <v>0</v>
      </c>
      <c r="H130" s="685">
        <f t="shared" si="136"/>
        <v>0</v>
      </c>
      <c r="I130" s="685">
        <f t="shared" si="136"/>
        <v>0</v>
      </c>
      <c r="J130" s="685">
        <f t="shared" si="136"/>
        <v>0</v>
      </c>
      <c r="K130" s="263">
        <f t="shared" si="136"/>
        <v>0</v>
      </c>
      <c r="L130" s="263">
        <f t="shared" si="136"/>
        <v>0</v>
      </c>
      <c r="M130" s="263">
        <f t="shared" si="136"/>
        <v>0</v>
      </c>
      <c r="N130" s="263">
        <f t="shared" si="136"/>
        <v>0</v>
      </c>
      <c r="O130" s="263">
        <f t="shared" si="136"/>
        <v>0</v>
      </c>
      <c r="P130" s="263">
        <f t="shared" si="136"/>
        <v>0</v>
      </c>
      <c r="Q130" s="263">
        <f t="shared" si="136"/>
        <v>0</v>
      </c>
      <c r="R130" s="263">
        <f t="shared" si="136"/>
        <v>0</v>
      </c>
      <c r="S130" s="208">
        <f t="shared" si="136"/>
        <v>0</v>
      </c>
      <c r="T130" s="246">
        <f t="shared" si="107"/>
        <v>0</v>
      </c>
      <c r="U130" s="75">
        <v>40563</v>
      </c>
      <c r="V130" s="257"/>
      <c r="W130" s="231"/>
      <c r="X130" s="231"/>
      <c r="Y130" s="231"/>
      <c r="Z130" s="231"/>
      <c r="AA130" s="231"/>
      <c r="AB130" s="231"/>
      <c r="AC130" s="231"/>
      <c r="AD130" s="231"/>
      <c r="AE130" s="231"/>
      <c r="AF130" s="231"/>
      <c r="AG130" s="231"/>
      <c r="AH130" s="231"/>
      <c r="AI130" s="231"/>
      <c r="AJ130" s="231"/>
      <c r="AK130" s="231"/>
      <c r="AL130" s="231"/>
      <c r="AM130" s="232"/>
      <c r="AN130" s="75">
        <v>40563</v>
      </c>
      <c r="AO130" s="233">
        <f t="shared" si="89"/>
        <v>0</v>
      </c>
      <c r="AP130" s="231">
        <f t="shared" si="90"/>
        <v>0</v>
      </c>
      <c r="AQ130" s="231">
        <f t="shared" si="91"/>
        <v>0</v>
      </c>
      <c r="AR130" s="231">
        <f t="shared" si="92"/>
        <v>0</v>
      </c>
      <c r="AS130" s="231">
        <f t="shared" si="93"/>
        <v>0</v>
      </c>
      <c r="AT130" s="231">
        <f t="shared" si="94"/>
        <v>0</v>
      </c>
      <c r="AU130" s="231">
        <f t="shared" si="95"/>
        <v>0</v>
      </c>
      <c r="AV130" s="231">
        <f t="shared" si="96"/>
        <v>0</v>
      </c>
      <c r="AW130" s="231">
        <f t="shared" si="97"/>
        <v>0</v>
      </c>
      <c r="AX130" s="231">
        <f t="shared" si="98"/>
        <v>0</v>
      </c>
      <c r="AY130" s="231">
        <f t="shared" si="99"/>
        <v>0</v>
      </c>
      <c r="AZ130" s="231">
        <f t="shared" si="100"/>
        <v>0</v>
      </c>
      <c r="BA130" s="231">
        <f t="shared" si="101"/>
        <v>0</v>
      </c>
      <c r="BB130" s="231">
        <f t="shared" si="102"/>
        <v>0</v>
      </c>
      <c r="BC130" s="231">
        <f t="shared" si="103"/>
        <v>0</v>
      </c>
      <c r="BD130" s="231">
        <f t="shared" si="104"/>
        <v>0</v>
      </c>
      <c r="BE130" s="232">
        <f t="shared" si="105"/>
        <v>0</v>
      </c>
      <c r="BF130" s="75">
        <v>40563</v>
      </c>
      <c r="BG130" s="258">
        <f t="shared" si="110"/>
        <v>0</v>
      </c>
      <c r="BH130" s="259">
        <f t="shared" si="111"/>
        <v>0</v>
      </c>
      <c r="BI130" s="259">
        <f t="shared" si="112"/>
        <v>0</v>
      </c>
      <c r="BJ130" s="259">
        <f t="shared" si="113"/>
        <v>0</v>
      </c>
      <c r="BK130" s="259">
        <f t="shared" si="114"/>
        <v>0</v>
      </c>
      <c r="BL130" s="259">
        <f t="shared" si="115"/>
        <v>0</v>
      </c>
      <c r="BM130" s="259">
        <f t="shared" si="116"/>
        <v>0</v>
      </c>
      <c r="BN130" s="259">
        <f t="shared" si="117"/>
        <v>0</v>
      </c>
      <c r="BO130" s="259">
        <f t="shared" si="118"/>
        <v>0</v>
      </c>
      <c r="BP130" s="259">
        <f t="shared" si="119"/>
        <v>0</v>
      </c>
      <c r="BQ130" s="259">
        <f t="shared" si="120"/>
        <v>0</v>
      </c>
      <c r="BR130" s="259">
        <f t="shared" si="121"/>
        <v>0</v>
      </c>
      <c r="BS130" s="259">
        <f t="shared" si="122"/>
        <v>0</v>
      </c>
      <c r="BT130" s="259">
        <f t="shared" si="123"/>
        <v>0</v>
      </c>
      <c r="BU130" s="259">
        <f t="shared" si="124"/>
        <v>0</v>
      </c>
      <c r="BV130" s="259">
        <f t="shared" si="125"/>
        <v>0</v>
      </c>
      <c r="BW130" s="260">
        <f t="shared" si="126"/>
        <v>0</v>
      </c>
    </row>
    <row r="131" spans="1:75" s="587" customFormat="1">
      <c r="A131" s="575">
        <v>40596</v>
      </c>
      <c r="B131" s="575"/>
      <c r="C131" s="844">
        <f t="shared" ref="C131:S131" si="137">ROUND((C47-C48),2)</f>
        <v>0</v>
      </c>
      <c r="D131" s="578">
        <f t="shared" si="137"/>
        <v>0</v>
      </c>
      <c r="E131" s="578">
        <f t="shared" si="137"/>
        <v>0</v>
      </c>
      <c r="F131" s="585">
        <f t="shared" si="137"/>
        <v>0</v>
      </c>
      <c r="G131" s="585">
        <f t="shared" si="137"/>
        <v>0</v>
      </c>
      <c r="H131" s="585">
        <f t="shared" si="137"/>
        <v>135731297.03</v>
      </c>
      <c r="I131" s="585">
        <f t="shared" si="137"/>
        <v>64037903.009999998</v>
      </c>
      <c r="J131" s="585">
        <f t="shared" si="137"/>
        <v>42943393.07</v>
      </c>
      <c r="K131" s="578">
        <f t="shared" si="137"/>
        <v>0</v>
      </c>
      <c r="L131" s="578">
        <f t="shared" si="137"/>
        <v>0</v>
      </c>
      <c r="M131" s="578">
        <f t="shared" si="137"/>
        <v>0</v>
      </c>
      <c r="N131" s="578">
        <f t="shared" si="137"/>
        <v>0</v>
      </c>
      <c r="O131" s="578">
        <f t="shared" si="137"/>
        <v>0</v>
      </c>
      <c r="P131" s="578">
        <f t="shared" si="137"/>
        <v>0</v>
      </c>
      <c r="Q131" s="578">
        <f t="shared" si="137"/>
        <v>0</v>
      </c>
      <c r="R131" s="578">
        <f t="shared" si="137"/>
        <v>0</v>
      </c>
      <c r="S131" s="578">
        <f t="shared" si="137"/>
        <v>0</v>
      </c>
      <c r="T131" s="579">
        <f t="shared" si="107"/>
        <v>242712593.10999998</v>
      </c>
      <c r="U131" s="575">
        <v>40596</v>
      </c>
      <c r="V131" s="580"/>
      <c r="W131" s="581"/>
      <c r="X131" s="581"/>
      <c r="Y131" s="581"/>
      <c r="Z131" s="581"/>
      <c r="AA131" s="593">
        <v>135731297.03</v>
      </c>
      <c r="AB131" s="593">
        <v>64037903.009999998</v>
      </c>
      <c r="AC131" s="593">
        <v>42943393.07</v>
      </c>
      <c r="AD131" s="581"/>
      <c r="AE131" s="581"/>
      <c r="AF131" s="581"/>
      <c r="AG131" s="581"/>
      <c r="AH131" s="581"/>
      <c r="AI131" s="581"/>
      <c r="AJ131" s="581"/>
      <c r="AK131" s="581"/>
      <c r="AL131" s="581"/>
      <c r="AM131" s="582"/>
      <c r="AN131" s="575">
        <v>40596</v>
      </c>
      <c r="AO131" s="583">
        <f t="shared" si="89"/>
        <v>0</v>
      </c>
      <c r="AP131" s="581">
        <f t="shared" si="90"/>
        <v>0</v>
      </c>
      <c r="AQ131" s="581">
        <f t="shared" si="91"/>
        <v>0</v>
      </c>
      <c r="AR131" s="581">
        <f t="shared" si="92"/>
        <v>0</v>
      </c>
      <c r="AS131" s="581">
        <f t="shared" si="93"/>
        <v>0</v>
      </c>
      <c r="AT131" s="578">
        <f>H131-AA131</f>
        <v>0</v>
      </c>
      <c r="AU131" s="578">
        <f>I131-AB131</f>
        <v>0</v>
      </c>
      <c r="AV131" s="578">
        <f>J131-AC131</f>
        <v>0</v>
      </c>
      <c r="AW131" s="581">
        <f t="shared" si="97"/>
        <v>0</v>
      </c>
      <c r="AX131" s="581">
        <f t="shared" si="98"/>
        <v>0</v>
      </c>
      <c r="AY131" s="581">
        <f t="shared" si="99"/>
        <v>0</v>
      </c>
      <c r="AZ131" s="581">
        <f t="shared" si="100"/>
        <v>0</v>
      </c>
      <c r="BA131" s="581">
        <f t="shared" si="101"/>
        <v>0</v>
      </c>
      <c r="BB131" s="581">
        <f t="shared" si="102"/>
        <v>0</v>
      </c>
      <c r="BC131" s="581">
        <f t="shared" si="103"/>
        <v>0</v>
      </c>
      <c r="BD131" s="581">
        <f t="shared" si="104"/>
        <v>0</v>
      </c>
      <c r="BE131" s="582">
        <f t="shared" si="105"/>
        <v>0</v>
      </c>
      <c r="BF131" s="575">
        <v>40596</v>
      </c>
      <c r="BG131" s="584">
        <f t="shared" si="110"/>
        <v>0</v>
      </c>
      <c r="BH131" s="585">
        <f t="shared" si="111"/>
        <v>0</v>
      </c>
      <c r="BI131" s="585">
        <f t="shared" si="112"/>
        <v>0</v>
      </c>
      <c r="BJ131" s="585">
        <f t="shared" si="113"/>
        <v>0</v>
      </c>
      <c r="BK131" s="585">
        <f t="shared" si="114"/>
        <v>0</v>
      </c>
      <c r="BL131" s="585">
        <f t="shared" si="115"/>
        <v>0</v>
      </c>
      <c r="BM131" s="585">
        <f t="shared" si="116"/>
        <v>0</v>
      </c>
      <c r="BN131" s="585">
        <f t="shared" si="117"/>
        <v>0</v>
      </c>
      <c r="BO131" s="585">
        <f t="shared" si="118"/>
        <v>0</v>
      </c>
      <c r="BP131" s="585">
        <f t="shared" si="119"/>
        <v>0</v>
      </c>
      <c r="BQ131" s="585">
        <f t="shared" si="120"/>
        <v>0</v>
      </c>
      <c r="BR131" s="585">
        <f t="shared" si="121"/>
        <v>0</v>
      </c>
      <c r="BS131" s="585">
        <f t="shared" si="122"/>
        <v>0</v>
      </c>
      <c r="BT131" s="585">
        <f t="shared" si="123"/>
        <v>0</v>
      </c>
      <c r="BU131" s="585">
        <f t="shared" si="124"/>
        <v>0</v>
      </c>
      <c r="BV131" s="585">
        <f t="shared" si="125"/>
        <v>0</v>
      </c>
      <c r="BW131" s="586">
        <f t="shared" si="126"/>
        <v>0</v>
      </c>
    </row>
    <row r="132" spans="1:75">
      <c r="A132" s="75">
        <v>40622</v>
      </c>
      <c r="B132" s="75"/>
      <c r="C132" s="206">
        <f t="shared" ref="C132:S132" si="138">ROUND((C48-C49),2)</f>
        <v>0</v>
      </c>
      <c r="D132" s="208">
        <f t="shared" si="138"/>
        <v>0</v>
      </c>
      <c r="E132" s="208">
        <f t="shared" si="138"/>
        <v>0</v>
      </c>
      <c r="F132" s="259">
        <f t="shared" si="138"/>
        <v>0</v>
      </c>
      <c r="G132" s="259">
        <f t="shared" si="138"/>
        <v>0</v>
      </c>
      <c r="H132" s="259">
        <f t="shared" si="138"/>
        <v>0</v>
      </c>
      <c r="I132" s="259">
        <f t="shared" si="138"/>
        <v>0</v>
      </c>
      <c r="J132" s="259">
        <f t="shared" si="138"/>
        <v>0</v>
      </c>
      <c r="K132" s="208">
        <f t="shared" si="138"/>
        <v>0</v>
      </c>
      <c r="L132" s="208">
        <f t="shared" si="138"/>
        <v>0</v>
      </c>
      <c r="M132" s="208">
        <f t="shared" si="138"/>
        <v>0</v>
      </c>
      <c r="N132" s="208">
        <f t="shared" si="138"/>
        <v>0</v>
      </c>
      <c r="O132" s="208">
        <f t="shared" si="138"/>
        <v>0</v>
      </c>
      <c r="P132" s="208">
        <f t="shared" si="138"/>
        <v>0</v>
      </c>
      <c r="Q132" s="208">
        <f t="shared" si="138"/>
        <v>0</v>
      </c>
      <c r="R132" s="208">
        <f t="shared" si="138"/>
        <v>0</v>
      </c>
      <c r="S132" s="208">
        <f t="shared" si="138"/>
        <v>0</v>
      </c>
      <c r="T132" s="246">
        <f t="shared" si="107"/>
        <v>0</v>
      </c>
      <c r="U132" s="75">
        <v>40622</v>
      </c>
      <c r="V132" s="257"/>
      <c r="W132" s="231"/>
      <c r="X132" s="231"/>
      <c r="Y132" s="231"/>
      <c r="Z132" s="231"/>
      <c r="AA132" s="231"/>
      <c r="AB132" s="231"/>
      <c r="AC132" s="231"/>
      <c r="AD132" s="231"/>
      <c r="AE132" s="231"/>
      <c r="AF132" s="231"/>
      <c r="AG132" s="231"/>
      <c r="AH132" s="231"/>
      <c r="AI132" s="231"/>
      <c r="AJ132" s="231"/>
      <c r="AK132" s="231"/>
      <c r="AL132" s="231"/>
      <c r="AM132" s="232"/>
      <c r="AN132" s="75">
        <v>40622</v>
      </c>
      <c r="AO132" s="233">
        <f t="shared" si="89"/>
        <v>0</v>
      </c>
      <c r="AP132" s="231">
        <f t="shared" si="90"/>
        <v>0</v>
      </c>
      <c r="AQ132" s="231">
        <f t="shared" si="91"/>
        <v>0</v>
      </c>
      <c r="AR132" s="231">
        <f t="shared" si="92"/>
        <v>0</v>
      </c>
      <c r="AS132" s="231">
        <f t="shared" si="93"/>
        <v>0</v>
      </c>
      <c r="AT132" s="231">
        <f t="shared" si="94"/>
        <v>0</v>
      </c>
      <c r="AU132" s="231">
        <f t="shared" si="95"/>
        <v>0</v>
      </c>
      <c r="AV132" s="231">
        <f t="shared" si="96"/>
        <v>0</v>
      </c>
      <c r="AW132" s="231">
        <f t="shared" si="97"/>
        <v>0</v>
      </c>
      <c r="AX132" s="231">
        <f t="shared" si="98"/>
        <v>0</v>
      </c>
      <c r="AY132" s="231">
        <f t="shared" si="99"/>
        <v>0</v>
      </c>
      <c r="AZ132" s="231">
        <f t="shared" si="100"/>
        <v>0</v>
      </c>
      <c r="BA132" s="231">
        <f t="shared" si="101"/>
        <v>0</v>
      </c>
      <c r="BB132" s="231">
        <f t="shared" si="102"/>
        <v>0</v>
      </c>
      <c r="BC132" s="231">
        <f t="shared" si="103"/>
        <v>0</v>
      </c>
      <c r="BD132" s="231">
        <f t="shared" si="104"/>
        <v>0</v>
      </c>
      <c r="BE132" s="232">
        <f t="shared" si="105"/>
        <v>0</v>
      </c>
      <c r="BF132" s="75">
        <v>40622</v>
      </c>
      <c r="BG132" s="258">
        <f t="shared" si="110"/>
        <v>0</v>
      </c>
      <c r="BH132" s="259">
        <f t="shared" si="111"/>
        <v>0</v>
      </c>
      <c r="BI132" s="259">
        <f t="shared" si="112"/>
        <v>0</v>
      </c>
      <c r="BJ132" s="259">
        <f t="shared" si="113"/>
        <v>0</v>
      </c>
      <c r="BK132" s="259">
        <f t="shared" si="114"/>
        <v>0</v>
      </c>
      <c r="BL132" s="259">
        <f t="shared" si="115"/>
        <v>0</v>
      </c>
      <c r="BM132" s="259">
        <f t="shared" si="116"/>
        <v>0</v>
      </c>
      <c r="BN132" s="259">
        <f t="shared" si="117"/>
        <v>0</v>
      </c>
      <c r="BO132" s="259">
        <f t="shared" si="118"/>
        <v>0</v>
      </c>
      <c r="BP132" s="259">
        <f t="shared" si="119"/>
        <v>0</v>
      </c>
      <c r="BQ132" s="259">
        <f t="shared" si="120"/>
        <v>0</v>
      </c>
      <c r="BR132" s="259">
        <f t="shared" si="121"/>
        <v>0</v>
      </c>
      <c r="BS132" s="259">
        <f t="shared" si="122"/>
        <v>0</v>
      </c>
      <c r="BT132" s="259">
        <f t="shared" si="123"/>
        <v>0</v>
      </c>
      <c r="BU132" s="259">
        <f t="shared" si="124"/>
        <v>0</v>
      </c>
      <c r="BV132" s="259">
        <f t="shared" si="125"/>
        <v>0</v>
      </c>
      <c r="BW132" s="260">
        <f t="shared" si="126"/>
        <v>0</v>
      </c>
    </row>
    <row r="133" spans="1:75">
      <c r="A133" s="75">
        <v>40653</v>
      </c>
      <c r="B133" s="75"/>
      <c r="C133" s="206">
        <f t="shared" ref="C133:S133" si="139">ROUND((C49-C50),2)</f>
        <v>0</v>
      </c>
      <c r="D133" s="208">
        <f t="shared" si="139"/>
        <v>0</v>
      </c>
      <c r="E133" s="208">
        <f t="shared" si="139"/>
        <v>0</v>
      </c>
      <c r="F133" s="259">
        <f t="shared" si="139"/>
        <v>0</v>
      </c>
      <c r="G133" s="259">
        <f t="shared" si="139"/>
        <v>0</v>
      </c>
      <c r="H133" s="259">
        <f t="shared" si="139"/>
        <v>0</v>
      </c>
      <c r="I133" s="259">
        <f t="shared" si="139"/>
        <v>0</v>
      </c>
      <c r="J133" s="259">
        <f t="shared" si="139"/>
        <v>0</v>
      </c>
      <c r="K133" s="208">
        <f t="shared" si="139"/>
        <v>0</v>
      </c>
      <c r="L133" s="208">
        <f t="shared" si="139"/>
        <v>0</v>
      </c>
      <c r="M133" s="208">
        <f t="shared" si="139"/>
        <v>0</v>
      </c>
      <c r="N133" s="208">
        <f t="shared" si="139"/>
        <v>0</v>
      </c>
      <c r="O133" s="208">
        <f t="shared" si="139"/>
        <v>0</v>
      </c>
      <c r="P133" s="208">
        <f t="shared" si="139"/>
        <v>0</v>
      </c>
      <c r="Q133" s="208">
        <f t="shared" si="139"/>
        <v>0</v>
      </c>
      <c r="R133" s="208">
        <f t="shared" si="139"/>
        <v>0</v>
      </c>
      <c r="S133" s="208">
        <f t="shared" si="139"/>
        <v>0</v>
      </c>
      <c r="T133" s="246">
        <f t="shared" si="107"/>
        <v>0</v>
      </c>
      <c r="U133" s="75">
        <v>40653</v>
      </c>
      <c r="V133" s="257"/>
      <c r="W133" s="231"/>
      <c r="X133" s="231"/>
      <c r="Y133" s="231"/>
      <c r="Z133" s="231"/>
      <c r="AA133" s="231"/>
      <c r="AB133" s="231"/>
      <c r="AC133" s="231"/>
      <c r="AD133" s="231"/>
      <c r="AE133" s="231"/>
      <c r="AF133" s="231"/>
      <c r="AG133" s="231"/>
      <c r="AH133" s="231"/>
      <c r="AI133" s="231"/>
      <c r="AJ133" s="231"/>
      <c r="AK133" s="231"/>
      <c r="AL133" s="231"/>
      <c r="AM133" s="232"/>
      <c r="AN133" s="75">
        <v>40653</v>
      </c>
      <c r="AO133" s="233">
        <f t="shared" si="89"/>
        <v>0</v>
      </c>
      <c r="AP133" s="231">
        <f t="shared" si="90"/>
        <v>0</v>
      </c>
      <c r="AQ133" s="231">
        <f t="shared" si="91"/>
        <v>0</v>
      </c>
      <c r="AR133" s="231">
        <f t="shared" si="92"/>
        <v>0</v>
      </c>
      <c r="AS133" s="231">
        <f t="shared" si="93"/>
        <v>0</v>
      </c>
      <c r="AT133" s="231">
        <f t="shared" si="94"/>
        <v>0</v>
      </c>
      <c r="AU133" s="231">
        <f t="shared" si="95"/>
        <v>0</v>
      </c>
      <c r="AV133" s="231">
        <f t="shared" si="96"/>
        <v>0</v>
      </c>
      <c r="AW133" s="231">
        <f t="shared" si="97"/>
        <v>0</v>
      </c>
      <c r="AX133" s="231">
        <f t="shared" si="98"/>
        <v>0</v>
      </c>
      <c r="AY133" s="231">
        <f t="shared" si="99"/>
        <v>0</v>
      </c>
      <c r="AZ133" s="231">
        <f t="shared" si="100"/>
        <v>0</v>
      </c>
      <c r="BA133" s="231">
        <f t="shared" si="101"/>
        <v>0</v>
      </c>
      <c r="BB133" s="231">
        <f t="shared" si="102"/>
        <v>0</v>
      </c>
      <c r="BC133" s="231">
        <f t="shared" si="103"/>
        <v>0</v>
      </c>
      <c r="BD133" s="231">
        <f t="shared" si="104"/>
        <v>0</v>
      </c>
      <c r="BE133" s="232">
        <f t="shared" si="105"/>
        <v>0</v>
      </c>
      <c r="BF133" s="75">
        <v>40653</v>
      </c>
      <c r="BG133" s="258">
        <f t="shared" si="110"/>
        <v>0</v>
      </c>
      <c r="BH133" s="259">
        <f t="shared" si="111"/>
        <v>0</v>
      </c>
      <c r="BI133" s="259">
        <f t="shared" si="112"/>
        <v>0</v>
      </c>
      <c r="BJ133" s="259">
        <f t="shared" si="113"/>
        <v>0</v>
      </c>
      <c r="BK133" s="259">
        <f t="shared" si="114"/>
        <v>0</v>
      </c>
      <c r="BL133" s="259">
        <f t="shared" si="115"/>
        <v>0</v>
      </c>
      <c r="BM133" s="259">
        <f t="shared" si="116"/>
        <v>0</v>
      </c>
      <c r="BN133" s="259">
        <f t="shared" si="117"/>
        <v>0</v>
      </c>
      <c r="BO133" s="259">
        <f t="shared" si="118"/>
        <v>0</v>
      </c>
      <c r="BP133" s="259">
        <f t="shared" si="119"/>
        <v>0</v>
      </c>
      <c r="BQ133" s="259">
        <f t="shared" si="120"/>
        <v>0</v>
      </c>
      <c r="BR133" s="259">
        <f t="shared" si="121"/>
        <v>0</v>
      </c>
      <c r="BS133" s="259">
        <f t="shared" si="122"/>
        <v>0</v>
      </c>
      <c r="BT133" s="259">
        <f t="shared" si="123"/>
        <v>0</v>
      </c>
      <c r="BU133" s="259">
        <f t="shared" si="124"/>
        <v>0</v>
      </c>
      <c r="BV133" s="259">
        <f t="shared" si="125"/>
        <v>0</v>
      </c>
      <c r="BW133" s="260">
        <f t="shared" si="126"/>
        <v>0</v>
      </c>
    </row>
    <row r="134" spans="1:75" s="587" customFormat="1">
      <c r="A134" s="575">
        <v>40683</v>
      </c>
      <c r="B134" s="575"/>
      <c r="C134" s="844">
        <f t="shared" ref="C134:S134" si="140">ROUND((C50-C51),2)</f>
        <v>0</v>
      </c>
      <c r="D134" s="578">
        <f t="shared" si="140"/>
        <v>0</v>
      </c>
      <c r="E134" s="578">
        <f t="shared" si="140"/>
        <v>0</v>
      </c>
      <c r="F134" s="585">
        <f t="shared" si="140"/>
        <v>0</v>
      </c>
      <c r="G134" s="585">
        <f t="shared" si="140"/>
        <v>0</v>
      </c>
      <c r="H134" s="585">
        <f t="shared" si="140"/>
        <v>128366735.25</v>
      </c>
      <c r="I134" s="585">
        <f t="shared" si="140"/>
        <v>60563309.43</v>
      </c>
      <c r="J134" s="585">
        <f t="shared" si="140"/>
        <v>40613353.659999996</v>
      </c>
      <c r="K134" s="578">
        <f t="shared" si="140"/>
        <v>0</v>
      </c>
      <c r="L134" s="578">
        <f t="shared" si="140"/>
        <v>0</v>
      </c>
      <c r="M134" s="578">
        <f t="shared" si="140"/>
        <v>0</v>
      </c>
      <c r="N134" s="578">
        <f t="shared" si="140"/>
        <v>0</v>
      </c>
      <c r="O134" s="578">
        <f t="shared" si="140"/>
        <v>0</v>
      </c>
      <c r="P134" s="578">
        <f t="shared" si="140"/>
        <v>0</v>
      </c>
      <c r="Q134" s="578">
        <f t="shared" si="140"/>
        <v>0</v>
      </c>
      <c r="R134" s="578">
        <f t="shared" si="140"/>
        <v>0</v>
      </c>
      <c r="S134" s="578">
        <f t="shared" si="140"/>
        <v>0</v>
      </c>
      <c r="T134" s="579">
        <f t="shared" si="107"/>
        <v>229543398.34</v>
      </c>
      <c r="U134" s="575">
        <v>40683</v>
      </c>
      <c r="V134" s="580"/>
      <c r="W134" s="581"/>
      <c r="X134" s="581"/>
      <c r="Y134" s="581"/>
      <c r="Z134" s="581"/>
      <c r="AA134" s="593">
        <v>128366735.25</v>
      </c>
      <c r="AB134" s="593">
        <v>60563309.43</v>
      </c>
      <c r="AC134" s="593">
        <v>40613353.659999996</v>
      </c>
      <c r="AD134" s="581"/>
      <c r="AE134" s="581"/>
      <c r="AF134" s="581"/>
      <c r="AG134" s="581"/>
      <c r="AH134" s="581"/>
      <c r="AI134" s="581"/>
      <c r="AJ134" s="581"/>
      <c r="AK134" s="581"/>
      <c r="AL134" s="581"/>
      <c r="AM134" s="582"/>
      <c r="AN134" s="575">
        <v>40683</v>
      </c>
      <c r="AO134" s="583">
        <f t="shared" si="89"/>
        <v>0</v>
      </c>
      <c r="AP134" s="581">
        <f t="shared" si="90"/>
        <v>0</v>
      </c>
      <c r="AQ134" s="581">
        <f t="shared" si="91"/>
        <v>0</v>
      </c>
      <c r="AR134" s="581">
        <f t="shared" si="92"/>
        <v>0</v>
      </c>
      <c r="AS134" s="581">
        <f t="shared" si="93"/>
        <v>0</v>
      </c>
      <c r="AT134" s="578">
        <f>H134-AA134</f>
        <v>0</v>
      </c>
      <c r="AU134" s="578">
        <f>I134-AB134</f>
        <v>0</v>
      </c>
      <c r="AV134" s="578">
        <f>J134-AC134</f>
        <v>0</v>
      </c>
      <c r="AW134" s="581">
        <f t="shared" si="97"/>
        <v>0</v>
      </c>
      <c r="AX134" s="581">
        <f t="shared" si="98"/>
        <v>0</v>
      </c>
      <c r="AY134" s="581">
        <f t="shared" si="99"/>
        <v>0</v>
      </c>
      <c r="AZ134" s="581">
        <f t="shared" si="100"/>
        <v>0</v>
      </c>
      <c r="BA134" s="581">
        <f t="shared" si="101"/>
        <v>0</v>
      </c>
      <c r="BB134" s="581">
        <f t="shared" si="102"/>
        <v>0</v>
      </c>
      <c r="BC134" s="581">
        <f t="shared" si="103"/>
        <v>0</v>
      </c>
      <c r="BD134" s="581">
        <f t="shared" si="104"/>
        <v>0</v>
      </c>
      <c r="BE134" s="582">
        <f t="shared" si="105"/>
        <v>0</v>
      </c>
      <c r="BF134" s="575">
        <v>40683</v>
      </c>
      <c r="BG134" s="584">
        <f t="shared" si="110"/>
        <v>0</v>
      </c>
      <c r="BH134" s="585">
        <f t="shared" si="111"/>
        <v>0</v>
      </c>
      <c r="BI134" s="585">
        <f t="shared" si="112"/>
        <v>0</v>
      </c>
      <c r="BJ134" s="585">
        <f t="shared" si="113"/>
        <v>0</v>
      </c>
      <c r="BK134" s="585">
        <f t="shared" si="114"/>
        <v>0</v>
      </c>
      <c r="BL134" s="585">
        <f t="shared" si="115"/>
        <v>0</v>
      </c>
      <c r="BM134" s="585">
        <f t="shared" si="116"/>
        <v>0</v>
      </c>
      <c r="BN134" s="585">
        <f t="shared" si="117"/>
        <v>0</v>
      </c>
      <c r="BO134" s="585">
        <f t="shared" si="118"/>
        <v>0</v>
      </c>
      <c r="BP134" s="585">
        <f t="shared" si="119"/>
        <v>0</v>
      </c>
      <c r="BQ134" s="585">
        <f t="shared" si="120"/>
        <v>0</v>
      </c>
      <c r="BR134" s="585">
        <f t="shared" si="121"/>
        <v>0</v>
      </c>
      <c r="BS134" s="585">
        <f t="shared" si="122"/>
        <v>0</v>
      </c>
      <c r="BT134" s="585">
        <f t="shared" si="123"/>
        <v>0</v>
      </c>
      <c r="BU134" s="585">
        <f t="shared" si="124"/>
        <v>0</v>
      </c>
      <c r="BV134" s="585">
        <f t="shared" si="125"/>
        <v>0</v>
      </c>
      <c r="BW134" s="586">
        <f t="shared" si="126"/>
        <v>0</v>
      </c>
    </row>
    <row r="135" spans="1:75">
      <c r="A135" s="75">
        <v>40714</v>
      </c>
      <c r="B135" s="75"/>
      <c r="C135" s="206">
        <f t="shared" ref="C135:S135" si="141">ROUND((C51-C52),2)</f>
        <v>0</v>
      </c>
      <c r="D135" s="208">
        <f t="shared" si="141"/>
        <v>0</v>
      </c>
      <c r="E135" s="208">
        <f t="shared" si="141"/>
        <v>0</v>
      </c>
      <c r="F135" s="259">
        <f t="shared" si="141"/>
        <v>0</v>
      </c>
      <c r="G135" s="259">
        <f t="shared" si="141"/>
        <v>0</v>
      </c>
      <c r="H135" s="259">
        <f t="shared" si="141"/>
        <v>0</v>
      </c>
      <c r="I135" s="259">
        <f t="shared" si="141"/>
        <v>0</v>
      </c>
      <c r="J135" s="259">
        <f t="shared" si="141"/>
        <v>0</v>
      </c>
      <c r="K135" s="208">
        <f t="shared" si="141"/>
        <v>0</v>
      </c>
      <c r="L135" s="208">
        <f t="shared" si="141"/>
        <v>0</v>
      </c>
      <c r="M135" s="208">
        <f t="shared" si="141"/>
        <v>0</v>
      </c>
      <c r="N135" s="208">
        <f t="shared" si="141"/>
        <v>0</v>
      </c>
      <c r="O135" s="208">
        <f t="shared" si="141"/>
        <v>0</v>
      </c>
      <c r="P135" s="208">
        <f t="shared" si="141"/>
        <v>0</v>
      </c>
      <c r="Q135" s="208">
        <f t="shared" si="141"/>
        <v>0</v>
      </c>
      <c r="R135" s="208">
        <f t="shared" si="141"/>
        <v>0</v>
      </c>
      <c r="S135" s="208">
        <f t="shared" si="141"/>
        <v>0</v>
      </c>
      <c r="T135" s="246">
        <f t="shared" si="107"/>
        <v>0</v>
      </c>
      <c r="U135" s="75">
        <v>40714</v>
      </c>
      <c r="V135" s="257"/>
      <c r="W135" s="231"/>
      <c r="X135" s="231"/>
      <c r="Y135" s="231"/>
      <c r="Z135" s="231"/>
      <c r="AA135" s="231"/>
      <c r="AB135" s="231"/>
      <c r="AC135" s="231"/>
      <c r="AD135" s="231"/>
      <c r="AE135" s="231"/>
      <c r="AF135" s="231"/>
      <c r="AG135" s="231"/>
      <c r="AH135" s="231"/>
      <c r="AI135" s="231"/>
      <c r="AJ135" s="231"/>
      <c r="AK135" s="231"/>
      <c r="AL135" s="231"/>
      <c r="AM135" s="232"/>
      <c r="AN135" s="75">
        <v>40714</v>
      </c>
      <c r="AO135" s="233">
        <f t="shared" si="89"/>
        <v>0</v>
      </c>
      <c r="AP135" s="231">
        <f t="shared" si="90"/>
        <v>0</v>
      </c>
      <c r="AQ135" s="231">
        <f t="shared" si="91"/>
        <v>0</v>
      </c>
      <c r="AR135" s="231">
        <f t="shared" si="92"/>
        <v>0</v>
      </c>
      <c r="AS135" s="231">
        <f t="shared" si="93"/>
        <v>0</v>
      </c>
      <c r="AT135" s="231">
        <f t="shared" si="94"/>
        <v>0</v>
      </c>
      <c r="AU135" s="231">
        <f t="shared" si="95"/>
        <v>0</v>
      </c>
      <c r="AV135" s="231">
        <f t="shared" si="96"/>
        <v>0</v>
      </c>
      <c r="AW135" s="231">
        <f t="shared" si="97"/>
        <v>0</v>
      </c>
      <c r="AX135" s="231">
        <f t="shared" si="98"/>
        <v>0</v>
      </c>
      <c r="AY135" s="231">
        <f t="shared" si="99"/>
        <v>0</v>
      </c>
      <c r="AZ135" s="231">
        <f t="shared" si="100"/>
        <v>0</v>
      </c>
      <c r="BA135" s="231">
        <f t="shared" si="101"/>
        <v>0</v>
      </c>
      <c r="BB135" s="231">
        <f t="shared" si="102"/>
        <v>0</v>
      </c>
      <c r="BC135" s="231">
        <f t="shared" si="103"/>
        <v>0</v>
      </c>
      <c r="BD135" s="231">
        <f t="shared" si="104"/>
        <v>0</v>
      </c>
      <c r="BE135" s="232">
        <f t="shared" si="105"/>
        <v>0</v>
      </c>
      <c r="BF135" s="75">
        <v>40714</v>
      </c>
      <c r="BG135" s="258">
        <f t="shared" si="110"/>
        <v>0</v>
      </c>
      <c r="BH135" s="259">
        <f t="shared" si="111"/>
        <v>0</v>
      </c>
      <c r="BI135" s="259">
        <f t="shared" si="112"/>
        <v>0</v>
      </c>
      <c r="BJ135" s="259">
        <f t="shared" si="113"/>
        <v>0</v>
      </c>
      <c r="BK135" s="259">
        <f t="shared" si="114"/>
        <v>0</v>
      </c>
      <c r="BL135" s="259">
        <f t="shared" si="115"/>
        <v>0</v>
      </c>
      <c r="BM135" s="259">
        <f t="shared" si="116"/>
        <v>0</v>
      </c>
      <c r="BN135" s="259">
        <f t="shared" si="117"/>
        <v>0</v>
      </c>
      <c r="BO135" s="259">
        <f t="shared" si="118"/>
        <v>0</v>
      </c>
      <c r="BP135" s="259">
        <f t="shared" si="119"/>
        <v>0</v>
      </c>
      <c r="BQ135" s="259">
        <f t="shared" si="120"/>
        <v>0</v>
      </c>
      <c r="BR135" s="259">
        <f t="shared" si="121"/>
        <v>0</v>
      </c>
      <c r="BS135" s="259">
        <f t="shared" si="122"/>
        <v>0</v>
      </c>
      <c r="BT135" s="259">
        <f t="shared" si="123"/>
        <v>0</v>
      </c>
      <c r="BU135" s="259">
        <f t="shared" si="124"/>
        <v>0</v>
      </c>
      <c r="BV135" s="259">
        <f t="shared" si="125"/>
        <v>0</v>
      </c>
      <c r="BW135" s="260">
        <f t="shared" si="126"/>
        <v>0</v>
      </c>
    </row>
    <row r="136" spans="1:75">
      <c r="A136" s="75">
        <v>40744</v>
      </c>
      <c r="B136" s="75"/>
      <c r="C136" s="206">
        <f t="shared" ref="C136:S136" si="142">ROUND((C52-C53),2)</f>
        <v>0</v>
      </c>
      <c r="D136" s="208">
        <f t="shared" si="142"/>
        <v>0</v>
      </c>
      <c r="E136" s="208">
        <f t="shared" si="142"/>
        <v>0</v>
      </c>
      <c r="F136" s="259">
        <f t="shared" si="142"/>
        <v>0</v>
      </c>
      <c r="G136" s="259">
        <f t="shared" si="142"/>
        <v>0</v>
      </c>
      <c r="H136" s="259">
        <f t="shared" si="142"/>
        <v>0</v>
      </c>
      <c r="I136" s="259">
        <f t="shared" si="142"/>
        <v>0</v>
      </c>
      <c r="J136" s="259">
        <f t="shared" si="142"/>
        <v>0</v>
      </c>
      <c r="K136" s="208">
        <f t="shared" si="142"/>
        <v>0</v>
      </c>
      <c r="L136" s="208">
        <f t="shared" si="142"/>
        <v>0</v>
      </c>
      <c r="M136" s="208">
        <f t="shared" si="142"/>
        <v>0</v>
      </c>
      <c r="N136" s="208">
        <f t="shared" si="142"/>
        <v>0</v>
      </c>
      <c r="O136" s="208">
        <f t="shared" si="142"/>
        <v>0</v>
      </c>
      <c r="P136" s="208">
        <f t="shared" si="142"/>
        <v>0</v>
      </c>
      <c r="Q136" s="208">
        <f t="shared" si="142"/>
        <v>0</v>
      </c>
      <c r="R136" s="208">
        <f t="shared" si="142"/>
        <v>0</v>
      </c>
      <c r="S136" s="208">
        <f t="shared" si="142"/>
        <v>0</v>
      </c>
      <c r="T136" s="246">
        <f t="shared" si="107"/>
        <v>0</v>
      </c>
      <c r="U136" s="75">
        <v>40744</v>
      </c>
      <c r="V136" s="257"/>
      <c r="W136" s="231"/>
      <c r="X136" s="231"/>
      <c r="Y136" s="231"/>
      <c r="Z136" s="231"/>
      <c r="AA136" s="231"/>
      <c r="AB136" s="231"/>
      <c r="AC136" s="231"/>
      <c r="AD136" s="231"/>
      <c r="AE136" s="231"/>
      <c r="AF136" s="231"/>
      <c r="AG136" s="231"/>
      <c r="AH136" s="231"/>
      <c r="AI136" s="231"/>
      <c r="AJ136" s="231"/>
      <c r="AK136" s="231"/>
      <c r="AL136" s="231"/>
      <c r="AM136" s="232"/>
      <c r="AN136" s="75">
        <v>40744</v>
      </c>
      <c r="AO136" s="233">
        <f t="shared" si="89"/>
        <v>0</v>
      </c>
      <c r="AP136" s="231">
        <f t="shared" si="90"/>
        <v>0</v>
      </c>
      <c r="AQ136" s="231">
        <f t="shared" si="91"/>
        <v>0</v>
      </c>
      <c r="AR136" s="231">
        <f t="shared" si="92"/>
        <v>0</v>
      </c>
      <c r="AS136" s="231">
        <f t="shared" si="93"/>
        <v>0</v>
      </c>
      <c r="AT136" s="231">
        <f t="shared" si="94"/>
        <v>0</v>
      </c>
      <c r="AU136" s="231">
        <f t="shared" si="95"/>
        <v>0</v>
      </c>
      <c r="AV136" s="231">
        <f t="shared" si="96"/>
        <v>0</v>
      </c>
      <c r="AW136" s="231">
        <f t="shared" si="97"/>
        <v>0</v>
      </c>
      <c r="AX136" s="231">
        <f t="shared" si="98"/>
        <v>0</v>
      </c>
      <c r="AY136" s="231">
        <f t="shared" si="99"/>
        <v>0</v>
      </c>
      <c r="AZ136" s="231">
        <f t="shared" si="100"/>
        <v>0</v>
      </c>
      <c r="BA136" s="231">
        <f t="shared" si="101"/>
        <v>0</v>
      </c>
      <c r="BB136" s="231">
        <f t="shared" si="102"/>
        <v>0</v>
      </c>
      <c r="BC136" s="231">
        <f t="shared" si="103"/>
        <v>0</v>
      </c>
      <c r="BD136" s="231">
        <f t="shared" si="104"/>
        <v>0</v>
      </c>
      <c r="BE136" s="232">
        <f t="shared" si="105"/>
        <v>0</v>
      </c>
      <c r="BF136" s="75">
        <v>40744</v>
      </c>
      <c r="BG136" s="258">
        <f t="shared" si="110"/>
        <v>0</v>
      </c>
      <c r="BH136" s="259">
        <f t="shared" si="111"/>
        <v>0</v>
      </c>
      <c r="BI136" s="259">
        <f t="shared" si="112"/>
        <v>0</v>
      </c>
      <c r="BJ136" s="259">
        <f t="shared" si="113"/>
        <v>0</v>
      </c>
      <c r="BK136" s="259">
        <f t="shared" si="114"/>
        <v>0</v>
      </c>
      <c r="BL136" s="259">
        <f t="shared" si="115"/>
        <v>0</v>
      </c>
      <c r="BM136" s="259">
        <f t="shared" si="116"/>
        <v>0</v>
      </c>
      <c r="BN136" s="259">
        <f t="shared" si="117"/>
        <v>0</v>
      </c>
      <c r="BO136" s="259">
        <f t="shared" si="118"/>
        <v>0</v>
      </c>
      <c r="BP136" s="259">
        <f t="shared" si="119"/>
        <v>0</v>
      </c>
      <c r="BQ136" s="259">
        <f t="shared" si="120"/>
        <v>0</v>
      </c>
      <c r="BR136" s="259">
        <f t="shared" si="121"/>
        <v>0</v>
      </c>
      <c r="BS136" s="259">
        <f t="shared" si="122"/>
        <v>0</v>
      </c>
      <c r="BT136" s="259">
        <f t="shared" si="123"/>
        <v>0</v>
      </c>
      <c r="BU136" s="259">
        <f t="shared" si="124"/>
        <v>0</v>
      </c>
      <c r="BV136" s="259">
        <f t="shared" si="125"/>
        <v>0</v>
      </c>
      <c r="BW136" s="260">
        <f t="shared" si="126"/>
        <v>0</v>
      </c>
    </row>
    <row r="137" spans="1:75" s="587" customFormat="1">
      <c r="A137" s="575">
        <v>40777</v>
      </c>
      <c r="B137" s="575"/>
      <c r="C137" s="844">
        <f t="shared" ref="C137:S137" si="143">ROUND((C53-C54),2)</f>
        <v>0</v>
      </c>
      <c r="D137" s="578">
        <f t="shared" si="143"/>
        <v>0</v>
      </c>
      <c r="E137" s="578">
        <f t="shared" si="143"/>
        <v>0</v>
      </c>
      <c r="F137" s="585">
        <f t="shared" si="143"/>
        <v>0</v>
      </c>
      <c r="G137" s="585">
        <f t="shared" si="143"/>
        <v>0</v>
      </c>
      <c r="H137" s="585">
        <f t="shared" si="143"/>
        <v>121401762.73999999</v>
      </c>
      <c r="I137" s="585">
        <f t="shared" si="143"/>
        <v>57277241.700000003</v>
      </c>
      <c r="J137" s="585">
        <f t="shared" si="143"/>
        <v>38409738.439999998</v>
      </c>
      <c r="K137" s="578">
        <f t="shared" si="143"/>
        <v>0</v>
      </c>
      <c r="L137" s="578">
        <f t="shared" si="143"/>
        <v>0</v>
      </c>
      <c r="M137" s="578">
        <f t="shared" si="143"/>
        <v>0</v>
      </c>
      <c r="N137" s="578">
        <f t="shared" si="143"/>
        <v>0</v>
      </c>
      <c r="O137" s="578">
        <f t="shared" si="143"/>
        <v>0</v>
      </c>
      <c r="P137" s="578">
        <f t="shared" si="143"/>
        <v>0</v>
      </c>
      <c r="Q137" s="578">
        <f t="shared" si="143"/>
        <v>0</v>
      </c>
      <c r="R137" s="578">
        <f t="shared" si="143"/>
        <v>0</v>
      </c>
      <c r="S137" s="578">
        <f t="shared" si="143"/>
        <v>0</v>
      </c>
      <c r="T137" s="579">
        <f t="shared" si="107"/>
        <v>217088742.88</v>
      </c>
      <c r="U137" s="575">
        <v>40777</v>
      </c>
      <c r="V137" s="580"/>
      <c r="W137" s="581"/>
      <c r="X137" s="581"/>
      <c r="Y137" s="581"/>
      <c r="Z137" s="581"/>
      <c r="AA137" s="593">
        <v>121401762.73999999</v>
      </c>
      <c r="AB137" s="593">
        <v>57277241.700000003</v>
      </c>
      <c r="AC137" s="593">
        <v>38409738.439999998</v>
      </c>
      <c r="AD137" s="581"/>
      <c r="AE137" s="581"/>
      <c r="AF137" s="581"/>
      <c r="AG137" s="581"/>
      <c r="AH137" s="581"/>
      <c r="AI137" s="581"/>
      <c r="AJ137" s="581"/>
      <c r="AK137" s="581"/>
      <c r="AL137" s="581"/>
      <c r="AM137" s="582"/>
      <c r="AN137" s="575">
        <v>40777</v>
      </c>
      <c r="AO137" s="583">
        <f t="shared" si="89"/>
        <v>0</v>
      </c>
      <c r="AP137" s="581">
        <f t="shared" si="90"/>
        <v>0</v>
      </c>
      <c r="AQ137" s="581">
        <f t="shared" si="91"/>
        <v>0</v>
      </c>
      <c r="AR137" s="581">
        <f t="shared" si="92"/>
        <v>0</v>
      </c>
      <c r="AS137" s="581">
        <f t="shared" si="93"/>
        <v>0</v>
      </c>
      <c r="AT137" s="578">
        <f>H137-AA137</f>
        <v>0</v>
      </c>
      <c r="AU137" s="578">
        <f>I137-AB137</f>
        <v>0</v>
      </c>
      <c r="AV137" s="578">
        <f>J137-AC137</f>
        <v>0</v>
      </c>
      <c r="AW137" s="581">
        <f t="shared" si="97"/>
        <v>0</v>
      </c>
      <c r="AX137" s="581">
        <f t="shared" si="98"/>
        <v>0</v>
      </c>
      <c r="AY137" s="581">
        <f t="shared" si="99"/>
        <v>0</v>
      </c>
      <c r="AZ137" s="581">
        <f t="shared" si="100"/>
        <v>0</v>
      </c>
      <c r="BA137" s="581">
        <f t="shared" si="101"/>
        <v>0</v>
      </c>
      <c r="BB137" s="581">
        <f t="shared" si="102"/>
        <v>0</v>
      </c>
      <c r="BC137" s="581">
        <f t="shared" si="103"/>
        <v>0</v>
      </c>
      <c r="BD137" s="581">
        <f t="shared" si="104"/>
        <v>0</v>
      </c>
      <c r="BE137" s="582">
        <f t="shared" si="105"/>
        <v>0</v>
      </c>
      <c r="BF137" s="575">
        <v>40777</v>
      </c>
      <c r="BG137" s="584">
        <f t="shared" si="110"/>
        <v>0</v>
      </c>
      <c r="BH137" s="585">
        <f t="shared" si="111"/>
        <v>0</v>
      </c>
      <c r="BI137" s="585">
        <f t="shared" si="112"/>
        <v>0</v>
      </c>
      <c r="BJ137" s="585">
        <f t="shared" si="113"/>
        <v>0</v>
      </c>
      <c r="BK137" s="585">
        <f t="shared" si="114"/>
        <v>0</v>
      </c>
      <c r="BL137" s="585">
        <f t="shared" si="115"/>
        <v>0</v>
      </c>
      <c r="BM137" s="585">
        <f t="shared" si="116"/>
        <v>0</v>
      </c>
      <c r="BN137" s="585">
        <f t="shared" si="117"/>
        <v>0</v>
      </c>
      <c r="BO137" s="585">
        <f t="shared" si="118"/>
        <v>0</v>
      </c>
      <c r="BP137" s="585">
        <f t="shared" si="119"/>
        <v>0</v>
      </c>
      <c r="BQ137" s="585">
        <f t="shared" si="120"/>
        <v>0</v>
      </c>
      <c r="BR137" s="585">
        <f t="shared" si="121"/>
        <v>0</v>
      </c>
      <c r="BS137" s="585">
        <f t="shared" si="122"/>
        <v>0</v>
      </c>
      <c r="BT137" s="585">
        <f t="shared" si="123"/>
        <v>0</v>
      </c>
      <c r="BU137" s="585">
        <f t="shared" si="124"/>
        <v>0</v>
      </c>
      <c r="BV137" s="585">
        <f t="shared" si="125"/>
        <v>0</v>
      </c>
      <c r="BW137" s="586">
        <f t="shared" si="126"/>
        <v>0</v>
      </c>
    </row>
    <row r="138" spans="1:75">
      <c r="A138" s="75">
        <v>40806</v>
      </c>
      <c r="B138" s="75"/>
      <c r="C138" s="206">
        <f t="shared" ref="C138:S138" si="144">ROUND((C54-C55),2)</f>
        <v>0</v>
      </c>
      <c r="D138" s="208">
        <f t="shared" si="144"/>
        <v>0</v>
      </c>
      <c r="E138" s="208">
        <f t="shared" si="144"/>
        <v>0</v>
      </c>
      <c r="F138" s="259">
        <f t="shared" si="144"/>
        <v>0</v>
      </c>
      <c r="G138" s="259">
        <f t="shared" si="144"/>
        <v>0</v>
      </c>
      <c r="H138" s="259">
        <f t="shared" si="144"/>
        <v>0</v>
      </c>
      <c r="I138" s="259">
        <f t="shared" si="144"/>
        <v>0</v>
      </c>
      <c r="J138" s="259">
        <f t="shared" si="144"/>
        <v>0</v>
      </c>
      <c r="K138" s="208">
        <f t="shared" si="144"/>
        <v>0</v>
      </c>
      <c r="L138" s="208">
        <f t="shared" si="144"/>
        <v>0</v>
      </c>
      <c r="M138" s="208">
        <f t="shared" si="144"/>
        <v>0</v>
      </c>
      <c r="N138" s="208">
        <f t="shared" si="144"/>
        <v>0</v>
      </c>
      <c r="O138" s="208">
        <f t="shared" si="144"/>
        <v>0</v>
      </c>
      <c r="P138" s="208">
        <f t="shared" si="144"/>
        <v>0</v>
      </c>
      <c r="Q138" s="208">
        <f t="shared" si="144"/>
        <v>0</v>
      </c>
      <c r="R138" s="208">
        <f t="shared" si="144"/>
        <v>0</v>
      </c>
      <c r="S138" s="208">
        <f t="shared" si="144"/>
        <v>0</v>
      </c>
      <c r="T138" s="246">
        <f t="shared" si="107"/>
        <v>0</v>
      </c>
      <c r="U138" s="75">
        <v>40806</v>
      </c>
      <c r="V138" s="257"/>
      <c r="W138" s="231"/>
      <c r="X138" s="231"/>
      <c r="Y138" s="231"/>
      <c r="Z138" s="231"/>
      <c r="AA138" s="231"/>
      <c r="AB138" s="231"/>
      <c r="AC138" s="231"/>
      <c r="AD138" s="231"/>
      <c r="AE138" s="231"/>
      <c r="AF138" s="231"/>
      <c r="AG138" s="231"/>
      <c r="AH138" s="231"/>
      <c r="AI138" s="231"/>
      <c r="AJ138" s="231"/>
      <c r="AK138" s="231"/>
      <c r="AL138" s="231"/>
      <c r="AM138" s="232"/>
      <c r="AN138" s="75">
        <v>40806</v>
      </c>
      <c r="AO138" s="233">
        <f t="shared" si="89"/>
        <v>0</v>
      </c>
      <c r="AP138" s="231">
        <f t="shared" si="90"/>
        <v>0</v>
      </c>
      <c r="AQ138" s="231">
        <f t="shared" si="91"/>
        <v>0</v>
      </c>
      <c r="AR138" s="231">
        <f t="shared" si="92"/>
        <v>0</v>
      </c>
      <c r="AS138" s="231">
        <f t="shared" si="93"/>
        <v>0</v>
      </c>
      <c r="AT138" s="231">
        <f t="shared" si="94"/>
        <v>0</v>
      </c>
      <c r="AU138" s="231">
        <f t="shared" si="95"/>
        <v>0</v>
      </c>
      <c r="AV138" s="231">
        <f t="shared" si="96"/>
        <v>0</v>
      </c>
      <c r="AW138" s="231">
        <f t="shared" si="97"/>
        <v>0</v>
      </c>
      <c r="AX138" s="231">
        <f t="shared" si="98"/>
        <v>0</v>
      </c>
      <c r="AY138" s="231">
        <f t="shared" si="99"/>
        <v>0</v>
      </c>
      <c r="AZ138" s="231">
        <f t="shared" si="100"/>
        <v>0</v>
      </c>
      <c r="BA138" s="231">
        <f t="shared" si="101"/>
        <v>0</v>
      </c>
      <c r="BB138" s="231">
        <f t="shared" si="102"/>
        <v>0</v>
      </c>
      <c r="BC138" s="231">
        <f t="shared" si="103"/>
        <v>0</v>
      </c>
      <c r="BD138" s="231">
        <f t="shared" si="104"/>
        <v>0</v>
      </c>
      <c r="BE138" s="232">
        <f t="shared" si="105"/>
        <v>0</v>
      </c>
      <c r="BF138" s="75">
        <v>40806</v>
      </c>
      <c r="BG138" s="258">
        <f t="shared" si="110"/>
        <v>0</v>
      </c>
      <c r="BH138" s="259">
        <f t="shared" si="111"/>
        <v>0</v>
      </c>
      <c r="BI138" s="259">
        <f t="shared" si="112"/>
        <v>0</v>
      </c>
      <c r="BJ138" s="259">
        <f t="shared" si="113"/>
        <v>0</v>
      </c>
      <c r="BK138" s="259">
        <f t="shared" si="114"/>
        <v>0</v>
      </c>
      <c r="BL138" s="259">
        <f t="shared" si="115"/>
        <v>0</v>
      </c>
      <c r="BM138" s="259">
        <f t="shared" si="116"/>
        <v>0</v>
      </c>
      <c r="BN138" s="259">
        <f t="shared" si="117"/>
        <v>0</v>
      </c>
      <c r="BO138" s="259">
        <f t="shared" si="118"/>
        <v>0</v>
      </c>
      <c r="BP138" s="259">
        <f t="shared" si="119"/>
        <v>0</v>
      </c>
      <c r="BQ138" s="259">
        <f t="shared" si="120"/>
        <v>0</v>
      </c>
      <c r="BR138" s="259">
        <f t="shared" si="121"/>
        <v>0</v>
      </c>
      <c r="BS138" s="259">
        <f t="shared" si="122"/>
        <v>0</v>
      </c>
      <c r="BT138" s="259">
        <f t="shared" si="123"/>
        <v>0</v>
      </c>
      <c r="BU138" s="259">
        <f t="shared" si="124"/>
        <v>0</v>
      </c>
      <c r="BV138" s="259">
        <f t="shared" si="125"/>
        <v>0</v>
      </c>
      <c r="BW138" s="260">
        <f t="shared" si="126"/>
        <v>0</v>
      </c>
    </row>
    <row r="139" spans="1:75">
      <c r="A139" s="75">
        <v>40836</v>
      </c>
      <c r="B139" s="75"/>
      <c r="C139" s="206">
        <f t="shared" ref="C139:S139" si="145">ROUND((C55-C56),2)</f>
        <v>0</v>
      </c>
      <c r="D139" s="208">
        <f t="shared" si="145"/>
        <v>0</v>
      </c>
      <c r="E139" s="208">
        <f t="shared" si="145"/>
        <v>0</v>
      </c>
      <c r="F139" s="259">
        <f t="shared" si="145"/>
        <v>0</v>
      </c>
      <c r="G139" s="259">
        <f t="shared" si="145"/>
        <v>0</v>
      </c>
      <c r="H139" s="259">
        <f t="shared" si="145"/>
        <v>0</v>
      </c>
      <c r="I139" s="259">
        <f t="shared" si="145"/>
        <v>0</v>
      </c>
      <c r="J139" s="259">
        <f t="shared" si="145"/>
        <v>0</v>
      </c>
      <c r="K139" s="208">
        <f t="shared" si="145"/>
        <v>0</v>
      </c>
      <c r="L139" s="208">
        <f t="shared" si="145"/>
        <v>0</v>
      </c>
      <c r="M139" s="208">
        <f t="shared" si="145"/>
        <v>0</v>
      </c>
      <c r="N139" s="208">
        <f t="shared" si="145"/>
        <v>0</v>
      </c>
      <c r="O139" s="208">
        <f t="shared" si="145"/>
        <v>0</v>
      </c>
      <c r="P139" s="208">
        <f t="shared" si="145"/>
        <v>0</v>
      </c>
      <c r="Q139" s="208">
        <f t="shared" si="145"/>
        <v>0</v>
      </c>
      <c r="R139" s="208">
        <f t="shared" si="145"/>
        <v>0</v>
      </c>
      <c r="S139" s="208">
        <f t="shared" si="145"/>
        <v>0</v>
      </c>
      <c r="T139" s="246">
        <f t="shared" si="107"/>
        <v>0</v>
      </c>
      <c r="U139" s="75">
        <v>40836</v>
      </c>
      <c r="V139" s="257"/>
      <c r="W139" s="231"/>
      <c r="X139" s="231"/>
      <c r="Y139" s="231"/>
      <c r="Z139" s="231"/>
      <c r="AA139" s="231"/>
      <c r="AB139" s="231"/>
      <c r="AC139" s="231"/>
      <c r="AD139" s="231"/>
      <c r="AE139" s="231"/>
      <c r="AF139" s="231"/>
      <c r="AG139" s="231"/>
      <c r="AH139" s="231"/>
      <c r="AI139" s="231"/>
      <c r="AJ139" s="231"/>
      <c r="AK139" s="231"/>
      <c r="AL139" s="231"/>
      <c r="AM139" s="232"/>
      <c r="AN139" s="75">
        <v>40836</v>
      </c>
      <c r="AO139" s="233">
        <f t="shared" si="89"/>
        <v>0</v>
      </c>
      <c r="AP139" s="231">
        <f t="shared" si="90"/>
        <v>0</v>
      </c>
      <c r="AQ139" s="231">
        <f t="shared" si="91"/>
        <v>0</v>
      </c>
      <c r="AR139" s="231">
        <f t="shared" si="92"/>
        <v>0</v>
      </c>
      <c r="AS139" s="231">
        <f t="shared" si="93"/>
        <v>0</v>
      </c>
      <c r="AT139" s="231">
        <f t="shared" si="94"/>
        <v>0</v>
      </c>
      <c r="AU139" s="231">
        <f t="shared" si="95"/>
        <v>0</v>
      </c>
      <c r="AV139" s="231">
        <f t="shared" si="96"/>
        <v>0</v>
      </c>
      <c r="AW139" s="231">
        <f t="shared" si="97"/>
        <v>0</v>
      </c>
      <c r="AX139" s="231">
        <f t="shared" si="98"/>
        <v>0</v>
      </c>
      <c r="AY139" s="231">
        <f t="shared" si="99"/>
        <v>0</v>
      </c>
      <c r="AZ139" s="231">
        <f t="shared" si="100"/>
        <v>0</v>
      </c>
      <c r="BA139" s="231">
        <f t="shared" si="101"/>
        <v>0</v>
      </c>
      <c r="BB139" s="231">
        <f t="shared" si="102"/>
        <v>0</v>
      </c>
      <c r="BC139" s="231">
        <f t="shared" si="103"/>
        <v>0</v>
      </c>
      <c r="BD139" s="231">
        <f t="shared" si="104"/>
        <v>0</v>
      </c>
      <c r="BE139" s="232">
        <f t="shared" si="105"/>
        <v>0</v>
      </c>
      <c r="BF139" s="75">
        <v>40836</v>
      </c>
      <c r="BG139" s="258">
        <f t="shared" si="110"/>
        <v>0</v>
      </c>
      <c r="BH139" s="259">
        <f t="shared" si="111"/>
        <v>0</v>
      </c>
      <c r="BI139" s="259">
        <f t="shared" si="112"/>
        <v>0</v>
      </c>
      <c r="BJ139" s="259">
        <f t="shared" si="113"/>
        <v>0</v>
      </c>
      <c r="BK139" s="259">
        <f t="shared" si="114"/>
        <v>0</v>
      </c>
      <c r="BL139" s="259">
        <f t="shared" si="115"/>
        <v>0</v>
      </c>
      <c r="BM139" s="259">
        <f t="shared" si="116"/>
        <v>0</v>
      </c>
      <c r="BN139" s="259">
        <f t="shared" si="117"/>
        <v>0</v>
      </c>
      <c r="BO139" s="259">
        <f t="shared" si="118"/>
        <v>0</v>
      </c>
      <c r="BP139" s="259">
        <f t="shared" si="119"/>
        <v>0</v>
      </c>
      <c r="BQ139" s="259">
        <f t="shared" si="120"/>
        <v>0</v>
      </c>
      <c r="BR139" s="259">
        <f t="shared" si="121"/>
        <v>0</v>
      </c>
      <c r="BS139" s="259">
        <f t="shared" si="122"/>
        <v>0</v>
      </c>
      <c r="BT139" s="259">
        <f t="shared" si="123"/>
        <v>0</v>
      </c>
      <c r="BU139" s="259">
        <f t="shared" si="124"/>
        <v>0</v>
      </c>
      <c r="BV139" s="259">
        <f t="shared" si="125"/>
        <v>0</v>
      </c>
      <c r="BW139" s="260">
        <f t="shared" si="126"/>
        <v>0</v>
      </c>
    </row>
    <row r="140" spans="1:75" s="587" customFormat="1">
      <c r="A140" s="575">
        <v>40868</v>
      </c>
      <c r="B140" s="575"/>
      <c r="C140" s="844">
        <f t="shared" ref="C140:S140" si="146">ROUND((C56-C57),2)</f>
        <v>0</v>
      </c>
      <c r="D140" s="578">
        <f t="shared" si="146"/>
        <v>0</v>
      </c>
      <c r="E140" s="578">
        <f t="shared" si="146"/>
        <v>0</v>
      </c>
      <c r="F140" s="585">
        <f t="shared" si="146"/>
        <v>0</v>
      </c>
      <c r="G140" s="585">
        <f t="shared" si="146"/>
        <v>0</v>
      </c>
      <c r="H140" s="585">
        <f t="shared" si="146"/>
        <v>114814698.43000001</v>
      </c>
      <c r="I140" s="585">
        <f t="shared" si="146"/>
        <v>54169470.729999997</v>
      </c>
      <c r="J140" s="585">
        <f t="shared" si="146"/>
        <v>36325687.829999998</v>
      </c>
      <c r="K140" s="578">
        <f t="shared" si="146"/>
        <v>0</v>
      </c>
      <c r="L140" s="578">
        <f t="shared" si="146"/>
        <v>0</v>
      </c>
      <c r="M140" s="578">
        <f t="shared" si="146"/>
        <v>0</v>
      </c>
      <c r="N140" s="578">
        <f t="shared" si="146"/>
        <v>0</v>
      </c>
      <c r="O140" s="578">
        <f t="shared" si="146"/>
        <v>0</v>
      </c>
      <c r="P140" s="578">
        <f t="shared" si="146"/>
        <v>0</v>
      </c>
      <c r="Q140" s="578">
        <f t="shared" si="146"/>
        <v>0</v>
      </c>
      <c r="R140" s="578">
        <f t="shared" si="146"/>
        <v>0</v>
      </c>
      <c r="S140" s="578">
        <f t="shared" si="146"/>
        <v>0</v>
      </c>
      <c r="T140" s="579">
        <f t="shared" si="107"/>
        <v>205309856.99000001</v>
      </c>
      <c r="U140" s="575">
        <v>40868</v>
      </c>
      <c r="V140" s="580"/>
      <c r="W140" s="581"/>
      <c r="X140" s="581"/>
      <c r="Y140" s="581"/>
      <c r="Z140" s="581"/>
      <c r="AA140" s="593">
        <v>114814698.43000001</v>
      </c>
      <c r="AB140" s="593">
        <v>54169470.729999997</v>
      </c>
      <c r="AC140" s="593">
        <v>36325687.829999998</v>
      </c>
      <c r="AD140" s="581"/>
      <c r="AE140" s="581"/>
      <c r="AF140" s="581"/>
      <c r="AG140" s="581"/>
      <c r="AH140" s="581"/>
      <c r="AI140" s="581"/>
      <c r="AJ140" s="581"/>
      <c r="AK140" s="581"/>
      <c r="AL140" s="581"/>
      <c r="AM140" s="582"/>
      <c r="AN140" s="575">
        <v>40868</v>
      </c>
      <c r="AO140" s="583">
        <f t="shared" si="89"/>
        <v>0</v>
      </c>
      <c r="AP140" s="581">
        <f t="shared" si="90"/>
        <v>0</v>
      </c>
      <c r="AQ140" s="581">
        <f t="shared" si="91"/>
        <v>0</v>
      </c>
      <c r="AR140" s="581">
        <f t="shared" si="92"/>
        <v>0</v>
      </c>
      <c r="AS140" s="581">
        <f t="shared" si="93"/>
        <v>0</v>
      </c>
      <c r="AT140" s="578">
        <f>H140-AA140</f>
        <v>0</v>
      </c>
      <c r="AU140" s="578">
        <f>I140-AB140</f>
        <v>0</v>
      </c>
      <c r="AV140" s="578">
        <f>J140-AC140</f>
        <v>0</v>
      </c>
      <c r="AW140" s="581">
        <f t="shared" si="97"/>
        <v>0</v>
      </c>
      <c r="AX140" s="581">
        <f t="shared" si="98"/>
        <v>0</v>
      </c>
      <c r="AY140" s="581">
        <f t="shared" si="99"/>
        <v>0</v>
      </c>
      <c r="AZ140" s="581">
        <f t="shared" si="100"/>
        <v>0</v>
      </c>
      <c r="BA140" s="581">
        <f t="shared" si="101"/>
        <v>0</v>
      </c>
      <c r="BB140" s="581">
        <f t="shared" si="102"/>
        <v>0</v>
      </c>
      <c r="BC140" s="581">
        <f t="shared" si="103"/>
        <v>0</v>
      </c>
      <c r="BD140" s="581">
        <f t="shared" si="104"/>
        <v>0</v>
      </c>
      <c r="BE140" s="582">
        <f t="shared" si="105"/>
        <v>0</v>
      </c>
      <c r="BF140" s="575">
        <v>40868</v>
      </c>
      <c r="BG140" s="584">
        <f t="shared" si="110"/>
        <v>0</v>
      </c>
      <c r="BH140" s="585">
        <f t="shared" si="111"/>
        <v>0</v>
      </c>
      <c r="BI140" s="585">
        <f t="shared" si="112"/>
        <v>0</v>
      </c>
      <c r="BJ140" s="585">
        <f t="shared" si="113"/>
        <v>0</v>
      </c>
      <c r="BK140" s="585">
        <f t="shared" si="114"/>
        <v>0</v>
      </c>
      <c r="BL140" s="585">
        <f t="shared" si="115"/>
        <v>0</v>
      </c>
      <c r="BM140" s="585">
        <f t="shared" si="116"/>
        <v>0</v>
      </c>
      <c r="BN140" s="585">
        <f t="shared" si="117"/>
        <v>0</v>
      </c>
      <c r="BO140" s="585">
        <f t="shared" si="118"/>
        <v>0</v>
      </c>
      <c r="BP140" s="585">
        <f t="shared" si="119"/>
        <v>0</v>
      </c>
      <c r="BQ140" s="585">
        <f t="shared" si="120"/>
        <v>0</v>
      </c>
      <c r="BR140" s="585">
        <f t="shared" si="121"/>
        <v>0</v>
      </c>
      <c r="BS140" s="585">
        <f t="shared" si="122"/>
        <v>0</v>
      </c>
      <c r="BT140" s="585">
        <f t="shared" si="123"/>
        <v>0</v>
      </c>
      <c r="BU140" s="585">
        <f t="shared" si="124"/>
        <v>0</v>
      </c>
      <c r="BV140" s="585">
        <f t="shared" si="125"/>
        <v>0</v>
      </c>
      <c r="BW140" s="586">
        <f t="shared" si="126"/>
        <v>0</v>
      </c>
    </row>
    <row r="141" spans="1:75">
      <c r="A141" s="75">
        <v>40897</v>
      </c>
      <c r="B141" s="75"/>
      <c r="C141" s="206">
        <f t="shared" ref="C141:S141" si="147">ROUND((C57-C58),2)</f>
        <v>0</v>
      </c>
      <c r="D141" s="208">
        <f t="shared" si="147"/>
        <v>0</v>
      </c>
      <c r="E141" s="208">
        <f t="shared" si="147"/>
        <v>0</v>
      </c>
      <c r="F141" s="259">
        <f t="shared" si="147"/>
        <v>0</v>
      </c>
      <c r="G141" s="259">
        <f t="shared" si="147"/>
        <v>0</v>
      </c>
      <c r="H141" s="259">
        <f t="shared" si="147"/>
        <v>0</v>
      </c>
      <c r="I141" s="259">
        <f t="shared" si="147"/>
        <v>0</v>
      </c>
      <c r="J141" s="259">
        <f t="shared" si="147"/>
        <v>0</v>
      </c>
      <c r="K141" s="208">
        <f t="shared" si="147"/>
        <v>0</v>
      </c>
      <c r="L141" s="208">
        <f t="shared" si="147"/>
        <v>0</v>
      </c>
      <c r="M141" s="208">
        <f t="shared" si="147"/>
        <v>0</v>
      </c>
      <c r="N141" s="208">
        <f t="shared" si="147"/>
        <v>0</v>
      </c>
      <c r="O141" s="208">
        <f t="shared" si="147"/>
        <v>0</v>
      </c>
      <c r="P141" s="208">
        <f t="shared" si="147"/>
        <v>0</v>
      </c>
      <c r="Q141" s="208">
        <f t="shared" si="147"/>
        <v>0</v>
      </c>
      <c r="R141" s="208">
        <f t="shared" si="147"/>
        <v>0</v>
      </c>
      <c r="S141" s="208">
        <f t="shared" si="147"/>
        <v>0</v>
      </c>
      <c r="T141" s="246">
        <f t="shared" si="107"/>
        <v>0</v>
      </c>
      <c r="U141" s="75">
        <v>40897</v>
      </c>
      <c r="V141" s="257"/>
      <c r="W141" s="231"/>
      <c r="X141" s="231"/>
      <c r="Y141" s="231"/>
      <c r="Z141" s="231"/>
      <c r="AA141" s="231"/>
      <c r="AB141" s="231"/>
      <c r="AC141" s="231"/>
      <c r="AD141" s="231"/>
      <c r="AE141" s="231"/>
      <c r="AF141" s="231"/>
      <c r="AG141" s="231"/>
      <c r="AH141" s="231"/>
      <c r="AI141" s="231"/>
      <c r="AJ141" s="231"/>
      <c r="AK141" s="231"/>
      <c r="AL141" s="231"/>
      <c r="AM141" s="232"/>
      <c r="AN141" s="75">
        <v>40897</v>
      </c>
      <c r="AO141" s="233">
        <f t="shared" si="89"/>
        <v>0</v>
      </c>
      <c r="AP141" s="231">
        <f t="shared" si="90"/>
        <v>0</v>
      </c>
      <c r="AQ141" s="231">
        <f t="shared" si="91"/>
        <v>0</v>
      </c>
      <c r="AR141" s="231">
        <f t="shared" si="92"/>
        <v>0</v>
      </c>
      <c r="AS141" s="231">
        <f t="shared" si="93"/>
        <v>0</v>
      </c>
      <c r="AT141" s="231">
        <f t="shared" si="94"/>
        <v>0</v>
      </c>
      <c r="AU141" s="231">
        <f t="shared" si="95"/>
        <v>0</v>
      </c>
      <c r="AV141" s="231">
        <f t="shared" si="96"/>
        <v>0</v>
      </c>
      <c r="AW141" s="231">
        <f t="shared" si="97"/>
        <v>0</v>
      </c>
      <c r="AX141" s="231">
        <f t="shared" si="98"/>
        <v>0</v>
      </c>
      <c r="AY141" s="231">
        <f t="shared" si="99"/>
        <v>0</v>
      </c>
      <c r="AZ141" s="231">
        <f t="shared" si="100"/>
        <v>0</v>
      </c>
      <c r="BA141" s="231">
        <f t="shared" si="101"/>
        <v>0</v>
      </c>
      <c r="BB141" s="231">
        <f t="shared" si="102"/>
        <v>0</v>
      </c>
      <c r="BC141" s="231">
        <f t="shared" si="103"/>
        <v>0</v>
      </c>
      <c r="BD141" s="231">
        <f t="shared" si="104"/>
        <v>0</v>
      </c>
      <c r="BE141" s="232">
        <f t="shared" si="105"/>
        <v>0</v>
      </c>
      <c r="BF141" s="75">
        <v>40897</v>
      </c>
      <c r="BG141" s="258">
        <f t="shared" si="110"/>
        <v>0</v>
      </c>
      <c r="BH141" s="259">
        <f t="shared" si="111"/>
        <v>0</v>
      </c>
      <c r="BI141" s="259">
        <f t="shared" si="112"/>
        <v>0</v>
      </c>
      <c r="BJ141" s="259">
        <f t="shared" si="113"/>
        <v>0</v>
      </c>
      <c r="BK141" s="259">
        <f t="shared" si="114"/>
        <v>0</v>
      </c>
      <c r="BL141" s="259">
        <f t="shared" si="115"/>
        <v>0</v>
      </c>
      <c r="BM141" s="259">
        <f t="shared" si="116"/>
        <v>0</v>
      </c>
      <c r="BN141" s="259">
        <f t="shared" si="117"/>
        <v>0</v>
      </c>
      <c r="BO141" s="259">
        <f t="shared" si="118"/>
        <v>0</v>
      </c>
      <c r="BP141" s="259">
        <f t="shared" si="119"/>
        <v>0</v>
      </c>
      <c r="BQ141" s="259">
        <f t="shared" si="120"/>
        <v>0</v>
      </c>
      <c r="BR141" s="259">
        <f t="shared" si="121"/>
        <v>0</v>
      </c>
      <c r="BS141" s="259">
        <f t="shared" si="122"/>
        <v>0</v>
      </c>
      <c r="BT141" s="259">
        <f t="shared" si="123"/>
        <v>0</v>
      </c>
      <c r="BU141" s="259">
        <f t="shared" si="124"/>
        <v>0</v>
      </c>
      <c r="BV141" s="259">
        <f t="shared" si="125"/>
        <v>0</v>
      </c>
      <c r="BW141" s="260">
        <f t="shared" si="126"/>
        <v>0</v>
      </c>
    </row>
    <row r="142" spans="1:75">
      <c r="A142" s="75">
        <v>40928</v>
      </c>
      <c r="B142" s="75"/>
      <c r="C142" s="206">
        <f t="shared" ref="C142:S142" si="148">ROUND((C58-C59),2)</f>
        <v>0</v>
      </c>
      <c r="D142" s="208">
        <f t="shared" si="148"/>
        <v>0</v>
      </c>
      <c r="E142" s="208">
        <f t="shared" si="148"/>
        <v>0</v>
      </c>
      <c r="F142" s="259">
        <f t="shared" si="148"/>
        <v>0</v>
      </c>
      <c r="G142" s="259">
        <f t="shared" si="148"/>
        <v>0</v>
      </c>
      <c r="H142" s="259">
        <f t="shared" si="148"/>
        <v>0</v>
      </c>
      <c r="I142" s="259">
        <f t="shared" si="148"/>
        <v>0</v>
      </c>
      <c r="J142" s="259">
        <f t="shared" si="148"/>
        <v>0</v>
      </c>
      <c r="K142" s="208">
        <f t="shared" si="148"/>
        <v>0</v>
      </c>
      <c r="L142" s="208">
        <f t="shared" si="148"/>
        <v>0</v>
      </c>
      <c r="M142" s="208">
        <f t="shared" si="148"/>
        <v>0</v>
      </c>
      <c r="N142" s="208">
        <f t="shared" si="148"/>
        <v>0</v>
      </c>
      <c r="O142" s="208">
        <f t="shared" si="148"/>
        <v>0</v>
      </c>
      <c r="P142" s="208">
        <f t="shared" si="148"/>
        <v>0</v>
      </c>
      <c r="Q142" s="208">
        <f t="shared" si="148"/>
        <v>0</v>
      </c>
      <c r="R142" s="208">
        <f t="shared" si="148"/>
        <v>0</v>
      </c>
      <c r="S142" s="208">
        <f t="shared" si="148"/>
        <v>0</v>
      </c>
      <c r="T142" s="246">
        <f t="shared" si="107"/>
        <v>0</v>
      </c>
      <c r="U142" s="75">
        <v>40928</v>
      </c>
      <c r="V142" s="257"/>
      <c r="W142" s="231"/>
      <c r="X142" s="231"/>
      <c r="Y142" s="231"/>
      <c r="Z142" s="231"/>
      <c r="AA142" s="231"/>
      <c r="AB142" s="231"/>
      <c r="AC142" s="231"/>
      <c r="AD142" s="231"/>
      <c r="AE142" s="231"/>
      <c r="AF142" s="231"/>
      <c r="AG142" s="231"/>
      <c r="AH142" s="231"/>
      <c r="AI142" s="231"/>
      <c r="AJ142" s="231"/>
      <c r="AK142" s="231"/>
      <c r="AL142" s="231"/>
      <c r="AM142" s="232"/>
      <c r="AN142" s="75">
        <v>40928</v>
      </c>
      <c r="AO142" s="233">
        <f t="shared" si="89"/>
        <v>0</v>
      </c>
      <c r="AP142" s="231">
        <f t="shared" si="90"/>
        <v>0</v>
      </c>
      <c r="AQ142" s="231">
        <f t="shared" si="91"/>
        <v>0</v>
      </c>
      <c r="AR142" s="231">
        <f t="shared" si="92"/>
        <v>0</v>
      </c>
      <c r="AS142" s="231">
        <f t="shared" si="93"/>
        <v>0</v>
      </c>
      <c r="AT142" s="231">
        <f t="shared" si="94"/>
        <v>0</v>
      </c>
      <c r="AU142" s="231">
        <f t="shared" si="95"/>
        <v>0</v>
      </c>
      <c r="AV142" s="231">
        <f t="shared" si="96"/>
        <v>0</v>
      </c>
      <c r="AW142" s="231">
        <f t="shared" si="97"/>
        <v>0</v>
      </c>
      <c r="AX142" s="231">
        <f t="shared" si="98"/>
        <v>0</v>
      </c>
      <c r="AY142" s="231">
        <f t="shared" si="99"/>
        <v>0</v>
      </c>
      <c r="AZ142" s="231">
        <f t="shared" si="100"/>
        <v>0</v>
      </c>
      <c r="BA142" s="231">
        <f t="shared" si="101"/>
        <v>0</v>
      </c>
      <c r="BB142" s="231">
        <f t="shared" si="102"/>
        <v>0</v>
      </c>
      <c r="BC142" s="231">
        <f t="shared" si="103"/>
        <v>0</v>
      </c>
      <c r="BD142" s="231">
        <f t="shared" si="104"/>
        <v>0</v>
      </c>
      <c r="BE142" s="232">
        <f t="shared" si="105"/>
        <v>0</v>
      </c>
      <c r="BF142" s="75">
        <v>40928</v>
      </c>
      <c r="BG142" s="258">
        <f t="shared" si="110"/>
        <v>0</v>
      </c>
      <c r="BH142" s="259">
        <f t="shared" si="111"/>
        <v>0</v>
      </c>
      <c r="BI142" s="259">
        <f t="shared" si="112"/>
        <v>0</v>
      </c>
      <c r="BJ142" s="259">
        <f t="shared" si="113"/>
        <v>0</v>
      </c>
      <c r="BK142" s="259">
        <f t="shared" si="114"/>
        <v>0</v>
      </c>
      <c r="BL142" s="259">
        <f t="shared" si="115"/>
        <v>0</v>
      </c>
      <c r="BM142" s="259">
        <f t="shared" si="116"/>
        <v>0</v>
      </c>
      <c r="BN142" s="259">
        <f t="shared" si="117"/>
        <v>0</v>
      </c>
      <c r="BO142" s="259">
        <f t="shared" si="118"/>
        <v>0</v>
      </c>
      <c r="BP142" s="259">
        <f t="shared" si="119"/>
        <v>0</v>
      </c>
      <c r="BQ142" s="259">
        <f t="shared" si="120"/>
        <v>0</v>
      </c>
      <c r="BR142" s="259">
        <f t="shared" si="121"/>
        <v>0</v>
      </c>
      <c r="BS142" s="259">
        <f t="shared" si="122"/>
        <v>0</v>
      </c>
      <c r="BT142" s="259">
        <f t="shared" si="123"/>
        <v>0</v>
      </c>
      <c r="BU142" s="259">
        <f t="shared" si="124"/>
        <v>0</v>
      </c>
      <c r="BV142" s="259">
        <f t="shared" si="125"/>
        <v>0</v>
      </c>
      <c r="BW142" s="260">
        <f t="shared" si="126"/>
        <v>0</v>
      </c>
    </row>
    <row r="143" spans="1:75" s="587" customFormat="1">
      <c r="A143" s="575">
        <v>40960</v>
      </c>
      <c r="B143" s="575"/>
      <c r="C143" s="844">
        <f t="shared" ref="C143:S143" si="149">ROUND((C59-C60),2)</f>
        <v>0</v>
      </c>
      <c r="D143" s="578">
        <f t="shared" si="149"/>
        <v>0</v>
      </c>
      <c r="E143" s="578">
        <f t="shared" si="149"/>
        <v>0</v>
      </c>
      <c r="F143" s="585">
        <f t="shared" si="149"/>
        <v>0</v>
      </c>
      <c r="G143" s="585">
        <f t="shared" si="149"/>
        <v>0</v>
      </c>
      <c r="H143" s="585">
        <f t="shared" si="149"/>
        <v>108585037.63</v>
      </c>
      <c r="I143" s="585">
        <f t="shared" si="149"/>
        <v>51230322.399999999</v>
      </c>
      <c r="J143" s="585">
        <f t="shared" si="149"/>
        <v>34354714.460000001</v>
      </c>
      <c r="K143" s="578">
        <f t="shared" si="149"/>
        <v>0</v>
      </c>
      <c r="L143" s="578">
        <f t="shared" si="149"/>
        <v>0</v>
      </c>
      <c r="M143" s="578">
        <f t="shared" si="149"/>
        <v>0</v>
      </c>
      <c r="N143" s="578">
        <f t="shared" si="149"/>
        <v>0</v>
      </c>
      <c r="O143" s="578">
        <f t="shared" si="149"/>
        <v>0</v>
      </c>
      <c r="P143" s="578">
        <f t="shared" si="149"/>
        <v>0</v>
      </c>
      <c r="Q143" s="578">
        <f t="shared" si="149"/>
        <v>0</v>
      </c>
      <c r="R143" s="578">
        <f t="shared" si="149"/>
        <v>0</v>
      </c>
      <c r="S143" s="578">
        <f t="shared" si="149"/>
        <v>0</v>
      </c>
      <c r="T143" s="579">
        <f t="shared" si="107"/>
        <v>194170074.49000001</v>
      </c>
      <c r="U143" s="575">
        <v>40960</v>
      </c>
      <c r="V143" s="580"/>
      <c r="W143" s="581"/>
      <c r="X143" s="581"/>
      <c r="Y143" s="581"/>
      <c r="Z143" s="581"/>
      <c r="AA143" s="593">
        <v>108585037.63</v>
      </c>
      <c r="AB143" s="593">
        <v>51230322.399999999</v>
      </c>
      <c r="AC143" s="593">
        <v>34354714.460000001</v>
      </c>
      <c r="AD143" s="581"/>
      <c r="AE143" s="581"/>
      <c r="AF143" s="581"/>
      <c r="AG143" s="581"/>
      <c r="AH143" s="581"/>
      <c r="AI143" s="581"/>
      <c r="AJ143" s="581"/>
      <c r="AK143" s="581"/>
      <c r="AL143" s="581"/>
      <c r="AM143" s="582"/>
      <c r="AN143" s="575">
        <v>40960</v>
      </c>
      <c r="AO143" s="583">
        <f t="shared" si="89"/>
        <v>0</v>
      </c>
      <c r="AP143" s="581">
        <f t="shared" si="90"/>
        <v>0</v>
      </c>
      <c r="AQ143" s="581">
        <f t="shared" si="91"/>
        <v>0</v>
      </c>
      <c r="AR143" s="581">
        <f t="shared" si="92"/>
        <v>0</v>
      </c>
      <c r="AS143" s="581">
        <f t="shared" si="93"/>
        <v>0</v>
      </c>
      <c r="AT143" s="578">
        <f>H143-AA143</f>
        <v>0</v>
      </c>
      <c r="AU143" s="578">
        <f>I143-AB143</f>
        <v>0</v>
      </c>
      <c r="AV143" s="578">
        <f>J143-AC143</f>
        <v>0</v>
      </c>
      <c r="AW143" s="581">
        <f t="shared" si="97"/>
        <v>0</v>
      </c>
      <c r="AX143" s="581">
        <f t="shared" si="98"/>
        <v>0</v>
      </c>
      <c r="AY143" s="581">
        <f t="shared" si="99"/>
        <v>0</v>
      </c>
      <c r="AZ143" s="581">
        <f t="shared" si="100"/>
        <v>0</v>
      </c>
      <c r="BA143" s="581">
        <f t="shared" si="101"/>
        <v>0</v>
      </c>
      <c r="BB143" s="581">
        <f t="shared" si="102"/>
        <v>0</v>
      </c>
      <c r="BC143" s="581">
        <f t="shared" si="103"/>
        <v>0</v>
      </c>
      <c r="BD143" s="581">
        <f t="shared" si="104"/>
        <v>0</v>
      </c>
      <c r="BE143" s="582">
        <f t="shared" si="105"/>
        <v>0</v>
      </c>
      <c r="BF143" s="575">
        <v>40960</v>
      </c>
      <c r="BG143" s="584">
        <f t="shared" si="110"/>
        <v>0</v>
      </c>
      <c r="BH143" s="585">
        <f t="shared" si="111"/>
        <v>0</v>
      </c>
      <c r="BI143" s="585">
        <f t="shared" si="112"/>
        <v>0</v>
      </c>
      <c r="BJ143" s="585">
        <f t="shared" si="113"/>
        <v>0</v>
      </c>
      <c r="BK143" s="585">
        <f t="shared" si="114"/>
        <v>0</v>
      </c>
      <c r="BL143" s="585">
        <f t="shared" si="115"/>
        <v>0</v>
      </c>
      <c r="BM143" s="585">
        <f t="shared" si="116"/>
        <v>0</v>
      </c>
      <c r="BN143" s="585">
        <f t="shared" si="117"/>
        <v>0</v>
      </c>
      <c r="BO143" s="585">
        <f t="shared" si="118"/>
        <v>0</v>
      </c>
      <c r="BP143" s="585">
        <f t="shared" si="119"/>
        <v>0</v>
      </c>
      <c r="BQ143" s="585">
        <f t="shared" si="120"/>
        <v>0</v>
      </c>
      <c r="BR143" s="585">
        <f t="shared" si="121"/>
        <v>0</v>
      </c>
      <c r="BS143" s="585">
        <f t="shared" si="122"/>
        <v>0</v>
      </c>
      <c r="BT143" s="585">
        <f t="shared" si="123"/>
        <v>0</v>
      </c>
      <c r="BU143" s="585">
        <f t="shared" si="124"/>
        <v>0</v>
      </c>
      <c r="BV143" s="585">
        <f t="shared" si="125"/>
        <v>0</v>
      </c>
      <c r="BW143" s="586">
        <f t="shared" si="126"/>
        <v>0</v>
      </c>
    </row>
    <row r="144" spans="1:75">
      <c r="A144" s="75">
        <v>40988</v>
      </c>
      <c r="B144" s="75"/>
      <c r="C144" s="206">
        <f t="shared" ref="C144:S144" si="150">ROUND((C60-C61),2)</f>
        <v>0</v>
      </c>
      <c r="D144" s="208">
        <f t="shared" si="150"/>
        <v>0</v>
      </c>
      <c r="E144" s="208">
        <f t="shared" si="150"/>
        <v>0</v>
      </c>
      <c r="F144" s="259">
        <f t="shared" si="150"/>
        <v>0</v>
      </c>
      <c r="G144" s="259">
        <f t="shared" si="150"/>
        <v>0</v>
      </c>
      <c r="H144" s="259">
        <f t="shared" si="150"/>
        <v>0</v>
      </c>
      <c r="I144" s="259">
        <f t="shared" si="150"/>
        <v>0</v>
      </c>
      <c r="J144" s="259">
        <f t="shared" si="150"/>
        <v>0</v>
      </c>
      <c r="K144" s="208">
        <f t="shared" si="150"/>
        <v>0</v>
      </c>
      <c r="L144" s="208">
        <f t="shared" si="150"/>
        <v>0</v>
      </c>
      <c r="M144" s="208">
        <f t="shared" si="150"/>
        <v>0</v>
      </c>
      <c r="N144" s="208">
        <f t="shared" si="150"/>
        <v>0</v>
      </c>
      <c r="O144" s="208">
        <f t="shared" si="150"/>
        <v>0</v>
      </c>
      <c r="P144" s="208">
        <f t="shared" si="150"/>
        <v>0</v>
      </c>
      <c r="Q144" s="208">
        <f t="shared" si="150"/>
        <v>0</v>
      </c>
      <c r="R144" s="208">
        <f t="shared" si="150"/>
        <v>0</v>
      </c>
      <c r="S144" s="208">
        <f t="shared" si="150"/>
        <v>0</v>
      </c>
      <c r="T144" s="246">
        <f t="shared" si="107"/>
        <v>0</v>
      </c>
      <c r="U144" s="75">
        <v>40988</v>
      </c>
      <c r="V144" s="257"/>
      <c r="W144" s="231"/>
      <c r="X144" s="231"/>
      <c r="Y144" s="231"/>
      <c r="Z144" s="231"/>
      <c r="AA144" s="231"/>
      <c r="AB144" s="231"/>
      <c r="AC144" s="231"/>
      <c r="AD144" s="231"/>
      <c r="AE144" s="231"/>
      <c r="AF144" s="231"/>
      <c r="AG144" s="231"/>
      <c r="AH144" s="231"/>
      <c r="AI144" s="231"/>
      <c r="AJ144" s="231"/>
      <c r="AK144" s="231"/>
      <c r="AL144" s="231"/>
      <c r="AM144" s="232"/>
      <c r="AN144" s="75">
        <v>40988</v>
      </c>
      <c r="AO144" s="233">
        <f t="shared" si="89"/>
        <v>0</v>
      </c>
      <c r="AP144" s="231">
        <f t="shared" si="90"/>
        <v>0</v>
      </c>
      <c r="AQ144" s="231">
        <f t="shared" si="91"/>
        <v>0</v>
      </c>
      <c r="AR144" s="231">
        <f t="shared" si="92"/>
        <v>0</v>
      </c>
      <c r="AS144" s="231">
        <f t="shared" si="93"/>
        <v>0</v>
      </c>
      <c r="AT144" s="231">
        <f t="shared" si="94"/>
        <v>0</v>
      </c>
      <c r="AU144" s="231">
        <f t="shared" si="95"/>
        <v>0</v>
      </c>
      <c r="AV144" s="231">
        <f t="shared" si="96"/>
        <v>0</v>
      </c>
      <c r="AW144" s="231">
        <f t="shared" si="97"/>
        <v>0</v>
      </c>
      <c r="AX144" s="231">
        <f t="shared" si="98"/>
        <v>0</v>
      </c>
      <c r="AY144" s="231">
        <f t="shared" si="99"/>
        <v>0</v>
      </c>
      <c r="AZ144" s="231">
        <f t="shared" si="100"/>
        <v>0</v>
      </c>
      <c r="BA144" s="231">
        <f t="shared" si="101"/>
        <v>0</v>
      </c>
      <c r="BB144" s="231">
        <f t="shared" si="102"/>
        <v>0</v>
      </c>
      <c r="BC144" s="231">
        <f t="shared" si="103"/>
        <v>0</v>
      </c>
      <c r="BD144" s="231">
        <f t="shared" si="104"/>
        <v>0</v>
      </c>
      <c r="BE144" s="232">
        <f t="shared" si="105"/>
        <v>0</v>
      </c>
      <c r="BF144" s="75">
        <v>40988</v>
      </c>
      <c r="BG144" s="258">
        <f t="shared" si="110"/>
        <v>0</v>
      </c>
      <c r="BH144" s="259">
        <f t="shared" si="111"/>
        <v>0</v>
      </c>
      <c r="BI144" s="259">
        <f t="shared" si="112"/>
        <v>0</v>
      </c>
      <c r="BJ144" s="259">
        <f t="shared" si="113"/>
        <v>0</v>
      </c>
      <c r="BK144" s="259">
        <f t="shared" si="114"/>
        <v>0</v>
      </c>
      <c r="BL144" s="259">
        <f t="shared" si="115"/>
        <v>0</v>
      </c>
      <c r="BM144" s="259">
        <f t="shared" si="116"/>
        <v>0</v>
      </c>
      <c r="BN144" s="259">
        <f t="shared" si="117"/>
        <v>0</v>
      </c>
      <c r="BO144" s="259">
        <f t="shared" si="118"/>
        <v>0</v>
      </c>
      <c r="BP144" s="259">
        <f t="shared" si="119"/>
        <v>0</v>
      </c>
      <c r="BQ144" s="259">
        <f t="shared" si="120"/>
        <v>0</v>
      </c>
      <c r="BR144" s="259">
        <f t="shared" si="121"/>
        <v>0</v>
      </c>
      <c r="BS144" s="259">
        <f t="shared" si="122"/>
        <v>0</v>
      </c>
      <c r="BT144" s="259">
        <f t="shared" si="123"/>
        <v>0</v>
      </c>
      <c r="BU144" s="259">
        <f t="shared" si="124"/>
        <v>0</v>
      </c>
      <c r="BV144" s="259">
        <f t="shared" si="125"/>
        <v>0</v>
      </c>
      <c r="BW144" s="260">
        <f t="shared" si="126"/>
        <v>0</v>
      </c>
    </row>
    <row r="145" spans="1:75">
      <c r="A145" s="75">
        <v>41019</v>
      </c>
      <c r="B145" s="75"/>
      <c r="C145" s="206">
        <f t="shared" ref="C145:S145" si="151">ROUND((C61-C62),2)</f>
        <v>0</v>
      </c>
      <c r="D145" s="208">
        <f t="shared" si="151"/>
        <v>0</v>
      </c>
      <c r="E145" s="208">
        <f t="shared" si="151"/>
        <v>0</v>
      </c>
      <c r="F145" s="259">
        <f t="shared" si="151"/>
        <v>0</v>
      </c>
      <c r="G145" s="259">
        <f t="shared" si="151"/>
        <v>0</v>
      </c>
      <c r="H145" s="259">
        <f t="shared" si="151"/>
        <v>0</v>
      </c>
      <c r="I145" s="259">
        <f t="shared" si="151"/>
        <v>0</v>
      </c>
      <c r="J145" s="259">
        <f t="shared" si="151"/>
        <v>0</v>
      </c>
      <c r="K145" s="208">
        <f t="shared" si="151"/>
        <v>0</v>
      </c>
      <c r="L145" s="208">
        <f t="shared" si="151"/>
        <v>0</v>
      </c>
      <c r="M145" s="208">
        <f t="shared" si="151"/>
        <v>0</v>
      </c>
      <c r="N145" s="208">
        <f t="shared" si="151"/>
        <v>0</v>
      </c>
      <c r="O145" s="208">
        <f t="shared" si="151"/>
        <v>0</v>
      </c>
      <c r="P145" s="208">
        <f t="shared" si="151"/>
        <v>0</v>
      </c>
      <c r="Q145" s="208">
        <f t="shared" si="151"/>
        <v>0</v>
      </c>
      <c r="R145" s="208">
        <f t="shared" si="151"/>
        <v>0</v>
      </c>
      <c r="S145" s="208">
        <f t="shared" si="151"/>
        <v>0</v>
      </c>
      <c r="T145" s="246">
        <f t="shared" si="107"/>
        <v>0</v>
      </c>
      <c r="U145" s="75">
        <v>41019</v>
      </c>
      <c r="V145" s="257"/>
      <c r="W145" s="231"/>
      <c r="X145" s="231"/>
      <c r="Y145" s="231"/>
      <c r="Z145" s="231"/>
      <c r="AA145" s="231"/>
      <c r="AB145" s="231"/>
      <c r="AC145" s="231"/>
      <c r="AD145" s="231"/>
      <c r="AE145" s="231"/>
      <c r="AF145" s="231"/>
      <c r="AG145" s="231"/>
      <c r="AH145" s="231"/>
      <c r="AI145" s="231"/>
      <c r="AJ145" s="231"/>
      <c r="AK145" s="231"/>
      <c r="AL145" s="231"/>
      <c r="AM145" s="232"/>
      <c r="AN145" s="75">
        <v>41019</v>
      </c>
      <c r="AO145" s="233">
        <f t="shared" si="89"/>
        <v>0</v>
      </c>
      <c r="AP145" s="231">
        <f t="shared" si="90"/>
        <v>0</v>
      </c>
      <c r="AQ145" s="231">
        <f t="shared" si="91"/>
        <v>0</v>
      </c>
      <c r="AR145" s="231">
        <f t="shared" si="92"/>
        <v>0</v>
      </c>
      <c r="AS145" s="231">
        <f t="shared" si="93"/>
        <v>0</v>
      </c>
      <c r="AT145" s="231">
        <f t="shared" si="94"/>
        <v>0</v>
      </c>
      <c r="AU145" s="231">
        <f t="shared" si="95"/>
        <v>0</v>
      </c>
      <c r="AV145" s="231">
        <f t="shared" si="96"/>
        <v>0</v>
      </c>
      <c r="AW145" s="231">
        <f t="shared" si="97"/>
        <v>0</v>
      </c>
      <c r="AX145" s="231">
        <f t="shared" si="98"/>
        <v>0</v>
      </c>
      <c r="AY145" s="231">
        <f t="shared" si="99"/>
        <v>0</v>
      </c>
      <c r="AZ145" s="231">
        <f t="shared" si="100"/>
        <v>0</v>
      </c>
      <c r="BA145" s="231">
        <f t="shared" si="101"/>
        <v>0</v>
      </c>
      <c r="BB145" s="231">
        <f t="shared" si="102"/>
        <v>0</v>
      </c>
      <c r="BC145" s="231">
        <f t="shared" si="103"/>
        <v>0</v>
      </c>
      <c r="BD145" s="231">
        <f t="shared" si="104"/>
        <v>0</v>
      </c>
      <c r="BE145" s="232">
        <f t="shared" si="105"/>
        <v>0</v>
      </c>
      <c r="BF145" s="75">
        <v>41019</v>
      </c>
      <c r="BG145" s="258">
        <f t="shared" si="110"/>
        <v>0</v>
      </c>
      <c r="BH145" s="259">
        <f t="shared" si="111"/>
        <v>0</v>
      </c>
      <c r="BI145" s="259">
        <f t="shared" si="112"/>
        <v>0</v>
      </c>
      <c r="BJ145" s="259">
        <f t="shared" si="113"/>
        <v>0</v>
      </c>
      <c r="BK145" s="259">
        <f t="shared" si="114"/>
        <v>0</v>
      </c>
      <c r="BL145" s="259">
        <f t="shared" si="115"/>
        <v>0</v>
      </c>
      <c r="BM145" s="259">
        <f t="shared" si="116"/>
        <v>0</v>
      </c>
      <c r="BN145" s="259">
        <f t="shared" si="117"/>
        <v>0</v>
      </c>
      <c r="BO145" s="259">
        <f t="shared" si="118"/>
        <v>0</v>
      </c>
      <c r="BP145" s="259">
        <f t="shared" si="119"/>
        <v>0</v>
      </c>
      <c r="BQ145" s="259">
        <f t="shared" si="120"/>
        <v>0</v>
      </c>
      <c r="BR145" s="259">
        <f t="shared" si="121"/>
        <v>0</v>
      </c>
      <c r="BS145" s="259">
        <f t="shared" si="122"/>
        <v>0</v>
      </c>
      <c r="BT145" s="259">
        <f t="shared" si="123"/>
        <v>0</v>
      </c>
      <c r="BU145" s="259">
        <f t="shared" si="124"/>
        <v>0</v>
      </c>
      <c r="BV145" s="259">
        <f t="shared" si="125"/>
        <v>0</v>
      </c>
      <c r="BW145" s="260">
        <f t="shared" si="126"/>
        <v>0</v>
      </c>
    </row>
    <row r="146" spans="1:75" s="1253" customFormat="1">
      <c r="A146" s="1242">
        <v>41050</v>
      </c>
      <c r="B146" s="1242"/>
      <c r="C146" s="1243">
        <f t="shared" ref="C146:S146" si="152">ROUND((C62-C63),2)</f>
        <v>0</v>
      </c>
      <c r="D146" s="1244">
        <f t="shared" si="152"/>
        <v>0</v>
      </c>
      <c r="E146" s="1244">
        <f t="shared" si="152"/>
        <v>0</v>
      </c>
      <c r="F146" s="1245">
        <f t="shared" si="152"/>
        <v>0</v>
      </c>
      <c r="G146" s="1245">
        <f t="shared" si="152"/>
        <v>0</v>
      </c>
      <c r="H146" s="1245">
        <f t="shared" si="152"/>
        <v>102693388.2</v>
      </c>
      <c r="I146" s="1245">
        <f t="shared" si="152"/>
        <v>48450647.539999999</v>
      </c>
      <c r="J146" s="1245">
        <f t="shared" si="152"/>
        <v>32490682.93</v>
      </c>
      <c r="K146" s="1244">
        <f t="shared" si="152"/>
        <v>0</v>
      </c>
      <c r="L146" s="1244">
        <f t="shared" si="152"/>
        <v>0</v>
      </c>
      <c r="M146" s="1244">
        <f t="shared" si="152"/>
        <v>0</v>
      </c>
      <c r="N146" s="1244">
        <f t="shared" si="152"/>
        <v>0</v>
      </c>
      <c r="O146" s="1244">
        <f t="shared" si="152"/>
        <v>0</v>
      </c>
      <c r="P146" s="1244">
        <f t="shared" si="152"/>
        <v>0</v>
      </c>
      <c r="Q146" s="1244">
        <f t="shared" si="152"/>
        <v>0</v>
      </c>
      <c r="R146" s="1244">
        <f t="shared" si="152"/>
        <v>0</v>
      </c>
      <c r="S146" s="1244">
        <f t="shared" si="152"/>
        <v>0</v>
      </c>
      <c r="T146" s="1246">
        <f t="shared" si="107"/>
        <v>183634718.67000002</v>
      </c>
      <c r="U146" s="1242">
        <v>41050</v>
      </c>
      <c r="V146" s="1247"/>
      <c r="W146" s="1248"/>
      <c r="X146" s="1248"/>
      <c r="Y146" s="1248"/>
      <c r="Z146" s="1248"/>
      <c r="AA146" s="593">
        <v>102693388.2</v>
      </c>
      <c r="AB146" s="593">
        <v>48450647.539999999</v>
      </c>
      <c r="AC146" s="593">
        <v>32490682.93</v>
      </c>
      <c r="AD146" s="1248"/>
      <c r="AE146" s="1248"/>
      <c r="AF146" s="1248"/>
      <c r="AG146" s="1248"/>
      <c r="AH146" s="1248"/>
      <c r="AI146" s="1248"/>
      <c r="AJ146" s="1248"/>
      <c r="AK146" s="1248"/>
      <c r="AL146" s="1248"/>
      <c r="AM146" s="1249"/>
      <c r="AN146" s="1242">
        <v>41050</v>
      </c>
      <c r="AO146" s="1250">
        <f t="shared" si="89"/>
        <v>0</v>
      </c>
      <c r="AP146" s="1248">
        <f t="shared" si="90"/>
        <v>0</v>
      </c>
      <c r="AQ146" s="1248">
        <f t="shared" si="91"/>
        <v>0</v>
      </c>
      <c r="AR146" s="1248">
        <f t="shared" si="92"/>
        <v>0</v>
      </c>
      <c r="AS146" s="1248">
        <f t="shared" si="93"/>
        <v>0</v>
      </c>
      <c r="AT146" s="1244">
        <f>H146-AA146</f>
        <v>0</v>
      </c>
      <c r="AU146" s="1244">
        <f>I146-AB146</f>
        <v>0</v>
      </c>
      <c r="AV146" s="1244">
        <f>J146-AC146</f>
        <v>0</v>
      </c>
      <c r="AW146" s="1248">
        <f t="shared" si="97"/>
        <v>0</v>
      </c>
      <c r="AX146" s="1248">
        <f t="shared" si="98"/>
        <v>0</v>
      </c>
      <c r="AY146" s="1248">
        <f t="shared" si="99"/>
        <v>0</v>
      </c>
      <c r="AZ146" s="1248">
        <f t="shared" si="100"/>
        <v>0</v>
      </c>
      <c r="BA146" s="1248">
        <f t="shared" si="101"/>
        <v>0</v>
      </c>
      <c r="BB146" s="1248">
        <f t="shared" si="102"/>
        <v>0</v>
      </c>
      <c r="BC146" s="1248">
        <f t="shared" si="103"/>
        <v>0</v>
      </c>
      <c r="BD146" s="1248">
        <f t="shared" si="104"/>
        <v>0</v>
      </c>
      <c r="BE146" s="1249">
        <f t="shared" si="105"/>
        <v>0</v>
      </c>
      <c r="BF146" s="1242">
        <v>41050</v>
      </c>
      <c r="BG146" s="1251">
        <f t="shared" si="110"/>
        <v>0</v>
      </c>
      <c r="BH146" s="1245">
        <f t="shared" si="111"/>
        <v>0</v>
      </c>
      <c r="BI146" s="1245">
        <f t="shared" si="112"/>
        <v>0</v>
      </c>
      <c r="BJ146" s="1245">
        <f t="shared" si="113"/>
        <v>0</v>
      </c>
      <c r="BK146" s="1245">
        <f t="shared" si="114"/>
        <v>0</v>
      </c>
      <c r="BL146" s="1245">
        <f t="shared" si="115"/>
        <v>0</v>
      </c>
      <c r="BM146" s="1245">
        <f t="shared" si="116"/>
        <v>0</v>
      </c>
      <c r="BN146" s="1245">
        <f t="shared" si="117"/>
        <v>0</v>
      </c>
      <c r="BO146" s="1245">
        <f t="shared" si="118"/>
        <v>0</v>
      </c>
      <c r="BP146" s="1245">
        <f t="shared" si="119"/>
        <v>0</v>
      </c>
      <c r="BQ146" s="1245">
        <f t="shared" si="120"/>
        <v>0</v>
      </c>
      <c r="BR146" s="1245">
        <f t="shared" si="121"/>
        <v>0</v>
      </c>
      <c r="BS146" s="1245">
        <f t="shared" si="122"/>
        <v>0</v>
      </c>
      <c r="BT146" s="1245">
        <f t="shared" si="123"/>
        <v>0</v>
      </c>
      <c r="BU146" s="1245">
        <f t="shared" si="124"/>
        <v>0</v>
      </c>
      <c r="BV146" s="1245">
        <f t="shared" si="125"/>
        <v>0</v>
      </c>
      <c r="BW146" s="1252">
        <f t="shared" si="126"/>
        <v>0</v>
      </c>
    </row>
    <row r="147" spans="1:75">
      <c r="A147" s="75">
        <v>41080</v>
      </c>
      <c r="B147" s="75"/>
      <c r="C147" s="206">
        <f t="shared" ref="C147:S147" si="153">ROUND((C63-C64),2)</f>
        <v>0</v>
      </c>
      <c r="D147" s="208">
        <f t="shared" si="153"/>
        <v>0</v>
      </c>
      <c r="E147" s="208">
        <f t="shared" si="153"/>
        <v>0</v>
      </c>
      <c r="F147" s="259">
        <f t="shared" si="153"/>
        <v>0</v>
      </c>
      <c r="G147" s="259">
        <f t="shared" si="153"/>
        <v>0</v>
      </c>
      <c r="H147" s="259">
        <f t="shared" si="153"/>
        <v>0</v>
      </c>
      <c r="I147" s="259">
        <f t="shared" si="153"/>
        <v>0</v>
      </c>
      <c r="J147" s="259">
        <f t="shared" si="153"/>
        <v>0</v>
      </c>
      <c r="K147" s="208">
        <f t="shared" si="153"/>
        <v>0</v>
      </c>
      <c r="L147" s="208">
        <f t="shared" si="153"/>
        <v>0</v>
      </c>
      <c r="M147" s="208">
        <f t="shared" si="153"/>
        <v>0</v>
      </c>
      <c r="N147" s="208">
        <f t="shared" si="153"/>
        <v>0</v>
      </c>
      <c r="O147" s="208">
        <f t="shared" si="153"/>
        <v>0</v>
      </c>
      <c r="P147" s="208">
        <f t="shared" si="153"/>
        <v>0</v>
      </c>
      <c r="Q147" s="208">
        <f t="shared" si="153"/>
        <v>0</v>
      </c>
      <c r="R147" s="208">
        <f t="shared" si="153"/>
        <v>0</v>
      </c>
      <c r="S147" s="208">
        <f t="shared" si="153"/>
        <v>0</v>
      </c>
      <c r="T147" s="246">
        <f t="shared" si="107"/>
        <v>0</v>
      </c>
      <c r="U147" s="75">
        <v>41080</v>
      </c>
      <c r="V147" s="257"/>
      <c r="W147" s="231"/>
      <c r="X147" s="231"/>
      <c r="Y147" s="231"/>
      <c r="Z147" s="231"/>
      <c r="AA147" s="231"/>
      <c r="AB147" s="231"/>
      <c r="AC147" s="231"/>
      <c r="AD147" s="231"/>
      <c r="AE147" s="231"/>
      <c r="AF147" s="231"/>
      <c r="AG147" s="231"/>
      <c r="AH147" s="231"/>
      <c r="AI147" s="231"/>
      <c r="AJ147" s="231"/>
      <c r="AK147" s="231"/>
      <c r="AL147" s="231"/>
      <c r="AM147" s="232"/>
      <c r="AN147" s="75">
        <v>41080</v>
      </c>
      <c r="AO147" s="233">
        <f t="shared" si="89"/>
        <v>0</v>
      </c>
      <c r="AP147" s="231">
        <f t="shared" si="90"/>
        <v>0</v>
      </c>
      <c r="AQ147" s="231">
        <f t="shared" si="91"/>
        <v>0</v>
      </c>
      <c r="AR147" s="231">
        <f t="shared" si="92"/>
        <v>0</v>
      </c>
      <c r="AS147" s="231">
        <f t="shared" si="93"/>
        <v>0</v>
      </c>
      <c r="AT147" s="231">
        <f t="shared" si="94"/>
        <v>0</v>
      </c>
      <c r="AU147" s="231">
        <f t="shared" si="95"/>
        <v>0</v>
      </c>
      <c r="AV147" s="231">
        <f t="shared" si="96"/>
        <v>0</v>
      </c>
      <c r="AW147" s="231">
        <f t="shared" si="97"/>
        <v>0</v>
      </c>
      <c r="AX147" s="231">
        <f t="shared" si="98"/>
        <v>0</v>
      </c>
      <c r="AY147" s="231">
        <f t="shared" si="99"/>
        <v>0</v>
      </c>
      <c r="AZ147" s="231">
        <f t="shared" si="100"/>
        <v>0</v>
      </c>
      <c r="BA147" s="231">
        <f t="shared" si="101"/>
        <v>0</v>
      </c>
      <c r="BB147" s="231">
        <f t="shared" si="102"/>
        <v>0</v>
      </c>
      <c r="BC147" s="231">
        <f t="shared" si="103"/>
        <v>0</v>
      </c>
      <c r="BD147" s="231">
        <f t="shared" si="104"/>
        <v>0</v>
      </c>
      <c r="BE147" s="232">
        <f t="shared" si="105"/>
        <v>0</v>
      </c>
      <c r="BF147" s="75">
        <v>41080</v>
      </c>
      <c r="BG147" s="258">
        <f t="shared" si="110"/>
        <v>0</v>
      </c>
      <c r="BH147" s="259">
        <f t="shared" si="111"/>
        <v>0</v>
      </c>
      <c r="BI147" s="259">
        <f t="shared" si="112"/>
        <v>0</v>
      </c>
      <c r="BJ147" s="259">
        <f t="shared" si="113"/>
        <v>0</v>
      </c>
      <c r="BK147" s="259">
        <f t="shared" si="114"/>
        <v>0</v>
      </c>
      <c r="BL147" s="259">
        <f t="shared" si="115"/>
        <v>0</v>
      </c>
      <c r="BM147" s="259">
        <f t="shared" si="116"/>
        <v>0</v>
      </c>
      <c r="BN147" s="259">
        <f t="shared" si="117"/>
        <v>0</v>
      </c>
      <c r="BO147" s="259">
        <f t="shared" si="118"/>
        <v>0</v>
      </c>
      <c r="BP147" s="259">
        <f t="shared" si="119"/>
        <v>0</v>
      </c>
      <c r="BQ147" s="259">
        <f t="shared" si="120"/>
        <v>0</v>
      </c>
      <c r="BR147" s="259">
        <f t="shared" si="121"/>
        <v>0</v>
      </c>
      <c r="BS147" s="259">
        <f t="shared" si="122"/>
        <v>0</v>
      </c>
      <c r="BT147" s="259">
        <f t="shared" si="123"/>
        <v>0</v>
      </c>
      <c r="BU147" s="259">
        <f t="shared" si="124"/>
        <v>0</v>
      </c>
      <c r="BV147" s="259">
        <f t="shared" si="125"/>
        <v>0</v>
      </c>
      <c r="BW147" s="260">
        <f t="shared" si="126"/>
        <v>0</v>
      </c>
    </row>
    <row r="148" spans="1:75">
      <c r="A148" s="75">
        <v>41110</v>
      </c>
      <c r="B148" s="75"/>
      <c r="C148" s="206">
        <f t="shared" ref="C148:S148" si="154">ROUND((C64-C65),2)</f>
        <v>0</v>
      </c>
      <c r="D148" s="208">
        <f t="shared" si="154"/>
        <v>0</v>
      </c>
      <c r="E148" s="208">
        <f t="shared" si="154"/>
        <v>0</v>
      </c>
      <c r="F148" s="259">
        <f t="shared" si="154"/>
        <v>0</v>
      </c>
      <c r="G148" s="259">
        <f t="shared" si="154"/>
        <v>0</v>
      </c>
      <c r="H148" s="259">
        <f t="shared" si="154"/>
        <v>0</v>
      </c>
      <c r="I148" s="259">
        <f t="shared" si="154"/>
        <v>0</v>
      </c>
      <c r="J148" s="259">
        <f t="shared" si="154"/>
        <v>0</v>
      </c>
      <c r="K148" s="208">
        <f t="shared" si="154"/>
        <v>0</v>
      </c>
      <c r="L148" s="208">
        <f t="shared" si="154"/>
        <v>0</v>
      </c>
      <c r="M148" s="208">
        <f t="shared" si="154"/>
        <v>0</v>
      </c>
      <c r="N148" s="208">
        <f t="shared" si="154"/>
        <v>0</v>
      </c>
      <c r="O148" s="208">
        <f t="shared" si="154"/>
        <v>0</v>
      </c>
      <c r="P148" s="208">
        <f t="shared" si="154"/>
        <v>0</v>
      </c>
      <c r="Q148" s="208">
        <f t="shared" si="154"/>
        <v>0</v>
      </c>
      <c r="R148" s="208">
        <f t="shared" si="154"/>
        <v>0</v>
      </c>
      <c r="S148" s="208">
        <f t="shared" si="154"/>
        <v>0</v>
      </c>
      <c r="T148" s="246">
        <f t="shared" si="107"/>
        <v>0</v>
      </c>
      <c r="U148" s="75">
        <v>41110</v>
      </c>
      <c r="V148" s="257"/>
      <c r="W148" s="231"/>
      <c r="X148" s="231"/>
      <c r="Y148" s="231"/>
      <c r="Z148" s="231"/>
      <c r="AA148" s="231"/>
      <c r="AB148" s="231"/>
      <c r="AC148" s="231"/>
      <c r="AD148" s="231"/>
      <c r="AE148" s="231"/>
      <c r="AF148" s="231"/>
      <c r="AG148" s="231"/>
      <c r="AH148" s="231"/>
      <c r="AI148" s="231"/>
      <c r="AJ148" s="231"/>
      <c r="AK148" s="231"/>
      <c r="AL148" s="231"/>
      <c r="AM148" s="232"/>
      <c r="AN148" s="75">
        <v>41110</v>
      </c>
      <c r="AO148" s="233">
        <f t="shared" si="89"/>
        <v>0</v>
      </c>
      <c r="AP148" s="231">
        <f t="shared" si="90"/>
        <v>0</v>
      </c>
      <c r="AQ148" s="231">
        <f t="shared" si="91"/>
        <v>0</v>
      </c>
      <c r="AR148" s="231">
        <f t="shared" si="92"/>
        <v>0</v>
      </c>
      <c r="AS148" s="231">
        <f t="shared" si="93"/>
        <v>0</v>
      </c>
      <c r="AT148" s="231">
        <f t="shared" si="94"/>
        <v>0</v>
      </c>
      <c r="AU148" s="231">
        <f t="shared" si="95"/>
        <v>0</v>
      </c>
      <c r="AV148" s="231">
        <f t="shared" si="96"/>
        <v>0</v>
      </c>
      <c r="AW148" s="231">
        <f t="shared" si="97"/>
        <v>0</v>
      </c>
      <c r="AX148" s="231">
        <f t="shared" si="98"/>
        <v>0</v>
      </c>
      <c r="AY148" s="231">
        <f t="shared" si="99"/>
        <v>0</v>
      </c>
      <c r="AZ148" s="231">
        <f t="shared" si="100"/>
        <v>0</v>
      </c>
      <c r="BA148" s="231">
        <f t="shared" si="101"/>
        <v>0</v>
      </c>
      <c r="BB148" s="231">
        <f t="shared" si="102"/>
        <v>0</v>
      </c>
      <c r="BC148" s="231">
        <f t="shared" si="103"/>
        <v>0</v>
      </c>
      <c r="BD148" s="231">
        <f t="shared" si="104"/>
        <v>0</v>
      </c>
      <c r="BE148" s="232">
        <f t="shared" si="105"/>
        <v>0</v>
      </c>
      <c r="BF148" s="75">
        <v>41110</v>
      </c>
      <c r="BG148" s="258">
        <f t="shared" si="110"/>
        <v>0</v>
      </c>
      <c r="BH148" s="259">
        <f t="shared" si="111"/>
        <v>0</v>
      </c>
      <c r="BI148" s="259">
        <f t="shared" si="112"/>
        <v>0</v>
      </c>
      <c r="BJ148" s="259">
        <f t="shared" si="113"/>
        <v>0</v>
      </c>
      <c r="BK148" s="259">
        <f t="shared" si="114"/>
        <v>0</v>
      </c>
      <c r="BL148" s="259">
        <f t="shared" si="115"/>
        <v>0</v>
      </c>
      <c r="BM148" s="259">
        <f t="shared" si="116"/>
        <v>0</v>
      </c>
      <c r="BN148" s="259">
        <f t="shared" si="117"/>
        <v>0</v>
      </c>
      <c r="BO148" s="259">
        <f t="shared" si="118"/>
        <v>0</v>
      </c>
      <c r="BP148" s="259">
        <f t="shared" si="119"/>
        <v>0</v>
      </c>
      <c r="BQ148" s="259">
        <f t="shared" si="120"/>
        <v>0</v>
      </c>
      <c r="BR148" s="259">
        <f t="shared" si="121"/>
        <v>0</v>
      </c>
      <c r="BS148" s="259">
        <f t="shared" si="122"/>
        <v>0</v>
      </c>
      <c r="BT148" s="259">
        <f t="shared" si="123"/>
        <v>0</v>
      </c>
      <c r="BU148" s="259">
        <f t="shared" si="124"/>
        <v>0</v>
      </c>
      <c r="BV148" s="259">
        <f t="shared" si="125"/>
        <v>0</v>
      </c>
      <c r="BW148" s="260">
        <f t="shared" si="126"/>
        <v>0</v>
      </c>
    </row>
    <row r="149" spans="1:75">
      <c r="A149" s="75">
        <v>41141</v>
      </c>
      <c r="B149" s="75"/>
      <c r="C149" s="206">
        <f t="shared" ref="C149:S149" si="155">ROUND((C65-C66),2)</f>
        <v>0</v>
      </c>
      <c r="D149" s="208">
        <f t="shared" si="155"/>
        <v>0</v>
      </c>
      <c r="E149" s="208">
        <f t="shared" si="155"/>
        <v>0</v>
      </c>
      <c r="F149" s="259">
        <f t="shared" si="155"/>
        <v>0</v>
      </c>
      <c r="G149" s="259">
        <f t="shared" si="155"/>
        <v>0</v>
      </c>
      <c r="H149" s="1245">
        <f>ROUND((H65-H66),2)-1452908326.44</f>
        <v>0</v>
      </c>
      <c r="I149" s="1245">
        <f>ROUND((I65-I66),2)-685480832.48</f>
        <v>0</v>
      </c>
      <c r="J149" s="1245">
        <f>ROUND((J65-J66),2)-459678900.32</f>
        <v>0</v>
      </c>
      <c r="K149" s="208">
        <f t="shared" si="155"/>
        <v>0</v>
      </c>
      <c r="L149" s="208">
        <f t="shared" si="155"/>
        <v>0</v>
      </c>
      <c r="M149" s="208">
        <f t="shared" si="155"/>
        <v>0</v>
      </c>
      <c r="N149" s="208">
        <f t="shared" si="155"/>
        <v>0</v>
      </c>
      <c r="O149" s="208">
        <f t="shared" si="155"/>
        <v>0</v>
      </c>
      <c r="P149" s="208">
        <f t="shared" si="155"/>
        <v>0</v>
      </c>
      <c r="Q149" s="208">
        <f t="shared" si="155"/>
        <v>0</v>
      </c>
      <c r="R149" s="208">
        <f t="shared" si="155"/>
        <v>0</v>
      </c>
      <c r="S149" s="208">
        <f t="shared" si="155"/>
        <v>0</v>
      </c>
      <c r="T149" s="246">
        <f t="shared" si="107"/>
        <v>0</v>
      </c>
      <c r="U149" s="75">
        <v>41141</v>
      </c>
      <c r="V149" s="257"/>
      <c r="W149" s="231"/>
      <c r="X149" s="231"/>
      <c r="Y149" s="231"/>
      <c r="Z149" s="231"/>
      <c r="AA149" s="231"/>
      <c r="AB149" s="231"/>
      <c r="AC149" s="231"/>
      <c r="AD149" s="231"/>
      <c r="AE149" s="231"/>
      <c r="AF149" s="231"/>
      <c r="AG149" s="231"/>
      <c r="AH149" s="231"/>
      <c r="AI149" s="231"/>
      <c r="AJ149" s="231"/>
      <c r="AK149" s="231"/>
      <c r="AL149" s="231"/>
      <c r="AM149" s="232"/>
      <c r="AN149" s="75">
        <v>41141</v>
      </c>
      <c r="AO149" s="233">
        <f t="shared" si="89"/>
        <v>0</v>
      </c>
      <c r="AP149" s="231">
        <f t="shared" si="90"/>
        <v>0</v>
      </c>
      <c r="AQ149" s="231">
        <f t="shared" si="91"/>
        <v>0</v>
      </c>
      <c r="AR149" s="231">
        <f t="shared" si="92"/>
        <v>0</v>
      </c>
      <c r="AS149" s="231">
        <f t="shared" si="93"/>
        <v>0</v>
      </c>
      <c r="AT149" s="208">
        <f>H149-AA149</f>
        <v>0</v>
      </c>
      <c r="AU149" s="208">
        <f>I149-AB149</f>
        <v>0</v>
      </c>
      <c r="AV149" s="208">
        <f>J149-AC149</f>
        <v>0</v>
      </c>
      <c r="AW149" s="231">
        <f t="shared" si="97"/>
        <v>0</v>
      </c>
      <c r="AX149" s="231">
        <f t="shared" si="98"/>
        <v>0</v>
      </c>
      <c r="AY149" s="231">
        <f t="shared" si="99"/>
        <v>0</v>
      </c>
      <c r="AZ149" s="231">
        <f t="shared" si="100"/>
        <v>0</v>
      </c>
      <c r="BA149" s="231">
        <f t="shared" si="101"/>
        <v>0</v>
      </c>
      <c r="BB149" s="231">
        <f t="shared" si="102"/>
        <v>0</v>
      </c>
      <c r="BC149" s="231">
        <f t="shared" si="103"/>
        <v>0</v>
      </c>
      <c r="BD149" s="231">
        <f t="shared" si="104"/>
        <v>0</v>
      </c>
      <c r="BE149" s="232">
        <f t="shared" si="105"/>
        <v>0</v>
      </c>
      <c r="BF149" s="75">
        <v>41141</v>
      </c>
      <c r="BG149" s="258">
        <f t="shared" si="110"/>
        <v>0</v>
      </c>
      <c r="BH149" s="259">
        <f t="shared" si="111"/>
        <v>0</v>
      </c>
      <c r="BI149" s="259">
        <f t="shared" si="112"/>
        <v>0</v>
      </c>
      <c r="BJ149" s="259">
        <f t="shared" si="113"/>
        <v>0</v>
      </c>
      <c r="BK149" s="259">
        <f t="shared" si="114"/>
        <v>0</v>
      </c>
      <c r="BL149" s="259">
        <f t="shared" si="115"/>
        <v>0</v>
      </c>
      <c r="BM149" s="259">
        <f t="shared" si="116"/>
        <v>0</v>
      </c>
      <c r="BN149" s="259">
        <f t="shared" si="117"/>
        <v>0</v>
      </c>
      <c r="BO149" s="259">
        <f t="shared" si="118"/>
        <v>0</v>
      </c>
      <c r="BP149" s="259">
        <f t="shared" si="119"/>
        <v>0</v>
      </c>
      <c r="BQ149" s="259">
        <f t="shared" si="120"/>
        <v>0</v>
      </c>
      <c r="BR149" s="259">
        <f t="shared" si="121"/>
        <v>0</v>
      </c>
      <c r="BS149" s="259">
        <f t="shared" si="122"/>
        <v>0</v>
      </c>
      <c r="BT149" s="259">
        <f t="shared" si="123"/>
        <v>0</v>
      </c>
      <c r="BU149" s="259">
        <f t="shared" si="124"/>
        <v>0</v>
      </c>
      <c r="BV149" s="259">
        <f t="shared" si="125"/>
        <v>0</v>
      </c>
      <c r="BW149" s="260">
        <f t="shared" si="126"/>
        <v>0</v>
      </c>
    </row>
    <row r="150" spans="1:75">
      <c r="A150" s="75">
        <v>41172</v>
      </c>
      <c r="B150" s="75"/>
      <c r="C150" s="206">
        <f t="shared" ref="C150:S150" si="156">ROUND((C66-C67),2)</f>
        <v>0</v>
      </c>
      <c r="D150" s="208">
        <f t="shared" si="156"/>
        <v>0</v>
      </c>
      <c r="E150" s="208">
        <f t="shared" si="156"/>
        <v>0</v>
      </c>
      <c r="F150" s="208">
        <f t="shared" si="156"/>
        <v>0</v>
      </c>
      <c r="G150" s="208">
        <f t="shared" si="156"/>
        <v>0</v>
      </c>
      <c r="H150" s="208">
        <f t="shared" si="156"/>
        <v>0</v>
      </c>
      <c r="I150" s="208">
        <f t="shared" si="156"/>
        <v>0</v>
      </c>
      <c r="J150" s="208">
        <f t="shared" si="156"/>
        <v>0</v>
      </c>
      <c r="K150" s="208">
        <f t="shared" si="156"/>
        <v>0</v>
      </c>
      <c r="L150" s="208">
        <f t="shared" si="156"/>
        <v>0</v>
      </c>
      <c r="M150" s="208">
        <f t="shared" si="156"/>
        <v>0</v>
      </c>
      <c r="N150" s="208">
        <f t="shared" si="156"/>
        <v>0</v>
      </c>
      <c r="O150" s="208">
        <f t="shared" si="156"/>
        <v>0</v>
      </c>
      <c r="P150" s="208">
        <f t="shared" si="156"/>
        <v>0</v>
      </c>
      <c r="Q150" s="208">
        <f t="shared" si="156"/>
        <v>0</v>
      </c>
      <c r="R150" s="208">
        <f t="shared" si="156"/>
        <v>0</v>
      </c>
      <c r="S150" s="208">
        <f t="shared" si="156"/>
        <v>0</v>
      </c>
      <c r="T150" s="246">
        <f t="shared" si="107"/>
        <v>0</v>
      </c>
      <c r="U150" s="75">
        <v>41172</v>
      </c>
      <c r="V150" s="257"/>
      <c r="W150" s="231"/>
      <c r="X150" s="231"/>
      <c r="Y150" s="231"/>
      <c r="Z150" s="231"/>
      <c r="AA150" s="231"/>
      <c r="AB150" s="231"/>
      <c r="AC150" s="231"/>
      <c r="AD150" s="231"/>
      <c r="AE150" s="231"/>
      <c r="AF150" s="231"/>
      <c r="AG150" s="231"/>
      <c r="AH150" s="231"/>
      <c r="AI150" s="231"/>
      <c r="AJ150" s="231"/>
      <c r="AK150" s="231"/>
      <c r="AL150" s="231"/>
      <c r="AM150" s="232"/>
      <c r="AN150" s="75">
        <v>41172</v>
      </c>
      <c r="AO150" s="233">
        <f t="shared" si="89"/>
        <v>0</v>
      </c>
      <c r="AP150" s="231">
        <f t="shared" si="90"/>
        <v>0</v>
      </c>
      <c r="AQ150" s="231">
        <f t="shared" si="91"/>
        <v>0</v>
      </c>
      <c r="AR150" s="231">
        <f t="shared" si="92"/>
        <v>0</v>
      </c>
      <c r="AS150" s="231">
        <f t="shared" si="93"/>
        <v>0</v>
      </c>
      <c r="AT150" s="231">
        <f t="shared" si="94"/>
        <v>0</v>
      </c>
      <c r="AU150" s="231">
        <f t="shared" si="95"/>
        <v>0</v>
      </c>
      <c r="AV150" s="231">
        <f t="shared" si="96"/>
        <v>0</v>
      </c>
      <c r="AW150" s="231">
        <f t="shared" si="97"/>
        <v>0</v>
      </c>
      <c r="AX150" s="231">
        <f t="shared" si="98"/>
        <v>0</v>
      </c>
      <c r="AY150" s="231">
        <f t="shared" si="99"/>
        <v>0</v>
      </c>
      <c r="AZ150" s="231">
        <f t="shared" si="100"/>
        <v>0</v>
      </c>
      <c r="BA150" s="231">
        <f t="shared" si="101"/>
        <v>0</v>
      </c>
      <c r="BB150" s="231">
        <f t="shared" si="102"/>
        <v>0</v>
      </c>
      <c r="BC150" s="231">
        <f t="shared" si="103"/>
        <v>0</v>
      </c>
      <c r="BD150" s="231">
        <f t="shared" si="104"/>
        <v>0</v>
      </c>
      <c r="BE150" s="232">
        <f t="shared" si="105"/>
        <v>0</v>
      </c>
      <c r="BF150" s="75">
        <v>41172</v>
      </c>
      <c r="BG150" s="258">
        <f t="shared" si="110"/>
        <v>0</v>
      </c>
      <c r="BH150" s="259">
        <f t="shared" si="111"/>
        <v>0</v>
      </c>
      <c r="BI150" s="259">
        <f t="shared" si="112"/>
        <v>0</v>
      </c>
      <c r="BJ150" s="259">
        <f t="shared" si="113"/>
        <v>0</v>
      </c>
      <c r="BK150" s="259">
        <f t="shared" si="114"/>
        <v>0</v>
      </c>
      <c r="BL150" s="259">
        <f t="shared" si="115"/>
        <v>0</v>
      </c>
      <c r="BM150" s="259">
        <f t="shared" si="116"/>
        <v>0</v>
      </c>
      <c r="BN150" s="259">
        <f t="shared" si="117"/>
        <v>0</v>
      </c>
      <c r="BO150" s="259">
        <f t="shared" si="118"/>
        <v>0</v>
      </c>
      <c r="BP150" s="259">
        <f t="shared" si="119"/>
        <v>0</v>
      </c>
      <c r="BQ150" s="259">
        <f t="shared" si="120"/>
        <v>0</v>
      </c>
      <c r="BR150" s="259">
        <f t="shared" si="121"/>
        <v>0</v>
      </c>
      <c r="BS150" s="259">
        <f t="shared" si="122"/>
        <v>0</v>
      </c>
      <c r="BT150" s="259">
        <f t="shared" si="123"/>
        <v>0</v>
      </c>
      <c r="BU150" s="259">
        <f t="shared" si="124"/>
        <v>0</v>
      </c>
      <c r="BV150" s="259">
        <f t="shared" si="125"/>
        <v>0</v>
      </c>
      <c r="BW150" s="260">
        <f t="shared" si="126"/>
        <v>0</v>
      </c>
    </row>
    <row r="151" spans="1:75">
      <c r="A151" s="75">
        <v>41202</v>
      </c>
      <c r="B151" s="75"/>
      <c r="C151" s="206">
        <f t="shared" ref="C151:S151" si="157">ROUND((C67-C68),2)</f>
        <v>0</v>
      </c>
      <c r="D151" s="208">
        <f t="shared" si="157"/>
        <v>0</v>
      </c>
      <c r="E151" s="208">
        <f t="shared" si="157"/>
        <v>0</v>
      </c>
      <c r="F151" s="208">
        <f t="shared" si="157"/>
        <v>0</v>
      </c>
      <c r="G151" s="208">
        <f t="shared" si="157"/>
        <v>0</v>
      </c>
      <c r="H151" s="208">
        <f t="shared" si="157"/>
        <v>0</v>
      </c>
      <c r="I151" s="208">
        <f t="shared" si="157"/>
        <v>0</v>
      </c>
      <c r="J151" s="208">
        <f t="shared" si="157"/>
        <v>0</v>
      </c>
      <c r="K151" s="208">
        <f t="shared" si="157"/>
        <v>0</v>
      </c>
      <c r="L151" s="208">
        <f t="shared" si="157"/>
        <v>0</v>
      </c>
      <c r="M151" s="208">
        <f t="shared" si="157"/>
        <v>0</v>
      </c>
      <c r="N151" s="208">
        <f t="shared" si="157"/>
        <v>0</v>
      </c>
      <c r="O151" s="208">
        <f t="shared" si="157"/>
        <v>0</v>
      </c>
      <c r="P151" s="208">
        <f t="shared" si="157"/>
        <v>0</v>
      </c>
      <c r="Q151" s="208">
        <f t="shared" si="157"/>
        <v>0</v>
      </c>
      <c r="R151" s="208">
        <f t="shared" si="157"/>
        <v>0</v>
      </c>
      <c r="S151" s="208">
        <f t="shared" si="157"/>
        <v>0</v>
      </c>
      <c r="T151" s="246">
        <f>SUM(C151:S151)</f>
        <v>0</v>
      </c>
      <c r="U151" s="75">
        <v>41202</v>
      </c>
      <c r="V151" s="257"/>
      <c r="W151" s="231"/>
      <c r="X151" s="231"/>
      <c r="Y151" s="231"/>
      <c r="Z151" s="231"/>
      <c r="AA151" s="231"/>
      <c r="AB151" s="231"/>
      <c r="AC151" s="231"/>
      <c r="AD151" s="231"/>
      <c r="AE151" s="231"/>
      <c r="AF151" s="231"/>
      <c r="AG151" s="231"/>
      <c r="AH151" s="231"/>
      <c r="AI151" s="231"/>
      <c r="AJ151" s="231"/>
      <c r="AK151" s="231"/>
      <c r="AL151" s="231"/>
      <c r="AM151" s="232"/>
      <c r="AN151" s="75">
        <v>41202</v>
      </c>
      <c r="AO151" s="233">
        <f t="shared" si="89"/>
        <v>0</v>
      </c>
      <c r="AP151" s="231">
        <f t="shared" si="90"/>
        <v>0</v>
      </c>
      <c r="AQ151" s="231">
        <f t="shared" si="91"/>
        <v>0</v>
      </c>
      <c r="AR151" s="231">
        <f t="shared" si="92"/>
        <v>0</v>
      </c>
      <c r="AS151" s="231">
        <f t="shared" si="93"/>
        <v>0</v>
      </c>
      <c r="AT151" s="231">
        <f t="shared" si="94"/>
        <v>0</v>
      </c>
      <c r="AU151" s="231">
        <f t="shared" si="95"/>
        <v>0</v>
      </c>
      <c r="AV151" s="231">
        <f t="shared" si="96"/>
        <v>0</v>
      </c>
      <c r="AW151" s="231">
        <f t="shared" si="97"/>
        <v>0</v>
      </c>
      <c r="AX151" s="231">
        <f t="shared" si="98"/>
        <v>0</v>
      </c>
      <c r="AY151" s="231">
        <f t="shared" si="99"/>
        <v>0</v>
      </c>
      <c r="AZ151" s="231">
        <f t="shared" si="100"/>
        <v>0</v>
      </c>
      <c r="BA151" s="231">
        <f t="shared" si="101"/>
        <v>0</v>
      </c>
      <c r="BB151" s="231">
        <f t="shared" si="102"/>
        <v>0</v>
      </c>
      <c r="BC151" s="231">
        <f t="shared" si="103"/>
        <v>0</v>
      </c>
      <c r="BD151" s="231">
        <f t="shared" si="104"/>
        <v>0</v>
      </c>
      <c r="BE151" s="232">
        <f t="shared" si="105"/>
        <v>0</v>
      </c>
      <c r="BF151" s="75">
        <v>41202</v>
      </c>
      <c r="BG151" s="258">
        <f t="shared" si="110"/>
        <v>0</v>
      </c>
      <c r="BH151" s="259">
        <f t="shared" si="111"/>
        <v>0</v>
      </c>
      <c r="BI151" s="259">
        <f t="shared" si="112"/>
        <v>0</v>
      </c>
      <c r="BJ151" s="259">
        <f t="shared" si="113"/>
        <v>0</v>
      </c>
      <c r="BK151" s="259">
        <f t="shared" si="114"/>
        <v>0</v>
      </c>
      <c r="BL151" s="259">
        <f t="shared" si="115"/>
        <v>0</v>
      </c>
      <c r="BM151" s="259">
        <f t="shared" si="116"/>
        <v>0</v>
      </c>
      <c r="BN151" s="259">
        <f t="shared" si="117"/>
        <v>0</v>
      </c>
      <c r="BO151" s="259">
        <f t="shared" si="118"/>
        <v>0</v>
      </c>
      <c r="BP151" s="259">
        <f t="shared" si="119"/>
        <v>0</v>
      </c>
      <c r="BQ151" s="259">
        <f t="shared" si="120"/>
        <v>0</v>
      </c>
      <c r="BR151" s="259">
        <f t="shared" si="121"/>
        <v>0</v>
      </c>
      <c r="BS151" s="259">
        <f t="shared" si="122"/>
        <v>0</v>
      </c>
      <c r="BT151" s="259">
        <f t="shared" si="123"/>
        <v>0</v>
      </c>
      <c r="BU151" s="259">
        <f t="shared" si="124"/>
        <v>0</v>
      </c>
      <c r="BV151" s="259">
        <f t="shared" si="125"/>
        <v>0</v>
      </c>
      <c r="BW151" s="260">
        <f t="shared" si="126"/>
        <v>0</v>
      </c>
    </row>
    <row r="152" spans="1:75">
      <c r="A152" s="75">
        <v>41233</v>
      </c>
      <c r="B152" s="75"/>
      <c r="C152" s="206">
        <f t="shared" ref="C152:S152" si="158">ROUND((C68-C69),2)</f>
        <v>0</v>
      </c>
      <c r="D152" s="208">
        <f t="shared" si="158"/>
        <v>0</v>
      </c>
      <c r="E152" s="208">
        <f t="shared" si="158"/>
        <v>0</v>
      </c>
      <c r="F152" s="208">
        <f t="shared" si="158"/>
        <v>0</v>
      </c>
      <c r="G152" s="208">
        <f t="shared" si="158"/>
        <v>0</v>
      </c>
      <c r="H152" s="208">
        <f t="shared" si="158"/>
        <v>0</v>
      </c>
      <c r="I152" s="208">
        <f t="shared" si="158"/>
        <v>0</v>
      </c>
      <c r="J152" s="208">
        <f t="shared" si="158"/>
        <v>0</v>
      </c>
      <c r="K152" s="208">
        <f t="shared" si="158"/>
        <v>0</v>
      </c>
      <c r="L152" s="208">
        <f t="shared" si="158"/>
        <v>0</v>
      </c>
      <c r="M152" s="208">
        <f t="shared" si="158"/>
        <v>0</v>
      </c>
      <c r="N152" s="208">
        <f t="shared" si="158"/>
        <v>0</v>
      </c>
      <c r="O152" s="208">
        <f t="shared" si="158"/>
        <v>0</v>
      </c>
      <c r="P152" s="208">
        <f t="shared" si="158"/>
        <v>0</v>
      </c>
      <c r="Q152" s="208">
        <f t="shared" si="158"/>
        <v>0</v>
      </c>
      <c r="R152" s="208">
        <f t="shared" si="158"/>
        <v>0</v>
      </c>
      <c r="S152" s="208">
        <f t="shared" si="158"/>
        <v>0</v>
      </c>
      <c r="T152" s="246">
        <f>SUM(C152:S152)</f>
        <v>0</v>
      </c>
      <c r="U152" s="75">
        <v>41233</v>
      </c>
      <c r="V152" s="257"/>
      <c r="W152" s="231"/>
      <c r="X152" s="231"/>
      <c r="Y152" s="231"/>
      <c r="Z152" s="231"/>
      <c r="AA152" s="231"/>
      <c r="AB152" s="231"/>
      <c r="AC152" s="231"/>
      <c r="AD152" s="231"/>
      <c r="AE152" s="231"/>
      <c r="AF152" s="231"/>
      <c r="AG152" s="231"/>
      <c r="AH152" s="231"/>
      <c r="AI152" s="231"/>
      <c r="AJ152" s="231"/>
      <c r="AK152" s="231"/>
      <c r="AL152" s="231"/>
      <c r="AM152" s="232"/>
      <c r="AN152" s="75">
        <v>41233</v>
      </c>
      <c r="AO152" s="233">
        <f t="shared" si="89"/>
        <v>0</v>
      </c>
      <c r="AP152" s="231">
        <f t="shared" si="90"/>
        <v>0</v>
      </c>
      <c r="AQ152" s="231">
        <f t="shared" si="91"/>
        <v>0</v>
      </c>
      <c r="AR152" s="231">
        <f t="shared" si="92"/>
        <v>0</v>
      </c>
      <c r="AS152" s="231">
        <f t="shared" si="93"/>
        <v>0</v>
      </c>
      <c r="AT152" s="231">
        <f t="shared" si="94"/>
        <v>0</v>
      </c>
      <c r="AU152" s="231">
        <f t="shared" si="95"/>
        <v>0</v>
      </c>
      <c r="AV152" s="231">
        <f t="shared" si="96"/>
        <v>0</v>
      </c>
      <c r="AW152" s="231">
        <f t="shared" si="97"/>
        <v>0</v>
      </c>
      <c r="AX152" s="231">
        <f t="shared" si="98"/>
        <v>0</v>
      </c>
      <c r="AY152" s="231">
        <f t="shared" si="99"/>
        <v>0</v>
      </c>
      <c r="AZ152" s="231">
        <f t="shared" si="100"/>
        <v>0</v>
      </c>
      <c r="BA152" s="231">
        <f t="shared" si="101"/>
        <v>0</v>
      </c>
      <c r="BB152" s="231">
        <f t="shared" si="102"/>
        <v>0</v>
      </c>
      <c r="BC152" s="231">
        <f t="shared" si="103"/>
        <v>0</v>
      </c>
      <c r="BD152" s="231">
        <f t="shared" si="104"/>
        <v>0</v>
      </c>
      <c r="BE152" s="232">
        <f t="shared" si="105"/>
        <v>0</v>
      </c>
      <c r="BF152" s="75">
        <v>41233</v>
      </c>
      <c r="BG152" s="258">
        <f t="shared" si="110"/>
        <v>0</v>
      </c>
      <c r="BH152" s="259">
        <f t="shared" si="111"/>
        <v>0</v>
      </c>
      <c r="BI152" s="259">
        <f t="shared" si="112"/>
        <v>0</v>
      </c>
      <c r="BJ152" s="259">
        <f t="shared" si="113"/>
        <v>0</v>
      </c>
      <c r="BK152" s="259">
        <f t="shared" si="114"/>
        <v>0</v>
      </c>
      <c r="BL152" s="259">
        <f t="shared" si="115"/>
        <v>0</v>
      </c>
      <c r="BM152" s="259">
        <f t="shared" si="116"/>
        <v>0</v>
      </c>
      <c r="BN152" s="259">
        <f t="shared" si="117"/>
        <v>0</v>
      </c>
      <c r="BO152" s="259">
        <f t="shared" si="118"/>
        <v>0</v>
      </c>
      <c r="BP152" s="259">
        <f t="shared" si="119"/>
        <v>0</v>
      </c>
      <c r="BQ152" s="259">
        <f t="shared" si="120"/>
        <v>0</v>
      </c>
      <c r="BR152" s="259">
        <f t="shared" si="121"/>
        <v>0</v>
      </c>
      <c r="BS152" s="259">
        <f t="shared" si="122"/>
        <v>0</v>
      </c>
      <c r="BT152" s="259">
        <f t="shared" si="123"/>
        <v>0</v>
      </c>
      <c r="BU152" s="259">
        <f t="shared" si="124"/>
        <v>0</v>
      </c>
      <c r="BV152" s="259">
        <f t="shared" si="125"/>
        <v>0</v>
      </c>
      <c r="BW152" s="260">
        <f t="shared" si="126"/>
        <v>0</v>
      </c>
    </row>
    <row r="153" spans="1:75" ht="13.5" thickBot="1">
      <c r="A153" s="75">
        <v>41263</v>
      </c>
      <c r="B153" s="75"/>
      <c r="C153" s="206">
        <f t="shared" ref="C153:S153" si="159">ROUND((C69-C70),2)</f>
        <v>0</v>
      </c>
      <c r="D153" s="208">
        <f t="shared" si="159"/>
        <v>0</v>
      </c>
      <c r="E153" s="208">
        <f t="shared" si="159"/>
        <v>0</v>
      </c>
      <c r="F153" s="208">
        <f t="shared" si="159"/>
        <v>0</v>
      </c>
      <c r="G153" s="208">
        <f t="shared" si="159"/>
        <v>0</v>
      </c>
      <c r="H153" s="208">
        <f t="shared" si="159"/>
        <v>0</v>
      </c>
      <c r="I153" s="208">
        <f t="shared" si="159"/>
        <v>0</v>
      </c>
      <c r="J153" s="208">
        <f t="shared" si="159"/>
        <v>0</v>
      </c>
      <c r="K153" s="208">
        <f t="shared" si="159"/>
        <v>0</v>
      </c>
      <c r="L153" s="208">
        <f t="shared" si="159"/>
        <v>0</v>
      </c>
      <c r="M153" s="208">
        <f t="shared" si="159"/>
        <v>0</v>
      </c>
      <c r="N153" s="208">
        <f t="shared" si="159"/>
        <v>0</v>
      </c>
      <c r="O153" s="208">
        <f t="shared" si="159"/>
        <v>0</v>
      </c>
      <c r="P153" s="208">
        <f t="shared" si="159"/>
        <v>0</v>
      </c>
      <c r="Q153" s="208">
        <f t="shared" si="159"/>
        <v>0</v>
      </c>
      <c r="R153" s="208">
        <f t="shared" si="159"/>
        <v>0</v>
      </c>
      <c r="S153" s="208">
        <f t="shared" si="159"/>
        <v>0</v>
      </c>
      <c r="T153" s="246">
        <f>SUM(C153:S153)</f>
        <v>0</v>
      </c>
      <c r="U153" s="75">
        <v>41263</v>
      </c>
      <c r="V153" s="244"/>
      <c r="W153" s="239"/>
      <c r="X153" s="239"/>
      <c r="Y153" s="239"/>
      <c r="Z153" s="239"/>
      <c r="AA153" s="239"/>
      <c r="AB153" s="239"/>
      <c r="AC153" s="239"/>
      <c r="AD153" s="239"/>
      <c r="AE153" s="239"/>
      <c r="AF153" s="239"/>
      <c r="AG153" s="239"/>
      <c r="AH153" s="239"/>
      <c r="AI153" s="239"/>
      <c r="AJ153" s="239"/>
      <c r="AK153" s="239"/>
      <c r="AL153" s="239"/>
      <c r="AM153" s="240"/>
      <c r="AN153" s="75">
        <v>41263</v>
      </c>
      <c r="AO153" s="245">
        <f t="shared" si="89"/>
        <v>0</v>
      </c>
      <c r="AP153" s="239">
        <f t="shared" si="90"/>
        <v>0</v>
      </c>
      <c r="AQ153" s="239">
        <f t="shared" si="91"/>
        <v>0</v>
      </c>
      <c r="AR153" s="239">
        <f t="shared" si="92"/>
        <v>0</v>
      </c>
      <c r="AS153" s="239">
        <f t="shared" si="93"/>
        <v>0</v>
      </c>
      <c r="AT153" s="239">
        <f t="shared" si="94"/>
        <v>0</v>
      </c>
      <c r="AU153" s="239">
        <f t="shared" si="95"/>
        <v>0</v>
      </c>
      <c r="AV153" s="239">
        <f t="shared" si="96"/>
        <v>0</v>
      </c>
      <c r="AW153" s="239">
        <f t="shared" si="97"/>
        <v>0</v>
      </c>
      <c r="AX153" s="239">
        <f t="shared" si="98"/>
        <v>0</v>
      </c>
      <c r="AY153" s="239">
        <f t="shared" si="99"/>
        <v>0</v>
      </c>
      <c r="AZ153" s="239">
        <f t="shared" si="100"/>
        <v>0</v>
      </c>
      <c r="BA153" s="239">
        <f t="shared" si="101"/>
        <v>0</v>
      </c>
      <c r="BB153" s="239">
        <f t="shared" si="102"/>
        <v>0</v>
      </c>
      <c r="BC153" s="239">
        <f t="shared" si="103"/>
        <v>0</v>
      </c>
      <c r="BD153" s="239">
        <f t="shared" si="104"/>
        <v>0</v>
      </c>
      <c r="BE153" s="240">
        <f t="shared" si="105"/>
        <v>0</v>
      </c>
      <c r="BF153" s="75">
        <v>41263</v>
      </c>
      <c r="BG153" s="264">
        <f t="shared" si="110"/>
        <v>0</v>
      </c>
      <c r="BH153" s="265">
        <f t="shared" si="111"/>
        <v>0</v>
      </c>
      <c r="BI153" s="265">
        <f t="shared" si="112"/>
        <v>0</v>
      </c>
      <c r="BJ153" s="265">
        <f t="shared" si="113"/>
        <v>0</v>
      </c>
      <c r="BK153" s="265">
        <f t="shared" si="114"/>
        <v>0</v>
      </c>
      <c r="BL153" s="265">
        <f t="shared" si="115"/>
        <v>0</v>
      </c>
      <c r="BM153" s="265">
        <f t="shared" si="116"/>
        <v>0</v>
      </c>
      <c r="BN153" s="265">
        <f t="shared" si="117"/>
        <v>0</v>
      </c>
      <c r="BO153" s="265">
        <f t="shared" si="118"/>
        <v>0</v>
      </c>
      <c r="BP153" s="265">
        <f t="shared" si="119"/>
        <v>0</v>
      </c>
      <c r="BQ153" s="265">
        <f t="shared" si="120"/>
        <v>0</v>
      </c>
      <c r="BR153" s="265">
        <f t="shared" si="121"/>
        <v>0</v>
      </c>
      <c r="BS153" s="265">
        <f t="shared" si="122"/>
        <v>0</v>
      </c>
      <c r="BT153" s="265">
        <f t="shared" si="123"/>
        <v>0</v>
      </c>
      <c r="BU153" s="265">
        <f t="shared" si="124"/>
        <v>0</v>
      </c>
      <c r="BV153" s="265">
        <f t="shared" si="125"/>
        <v>0</v>
      </c>
      <c r="BW153" s="266">
        <f t="shared" si="126"/>
        <v>0</v>
      </c>
    </row>
    <row r="154" spans="1:75">
      <c r="A154" s="205">
        <v>41294</v>
      </c>
      <c r="B154" s="75"/>
      <c r="C154" s="206">
        <f t="shared" ref="C154:S154" si="160">ROUND((C70-C71),2)</f>
        <v>0</v>
      </c>
      <c r="D154" s="208">
        <f t="shared" si="160"/>
        <v>0</v>
      </c>
      <c r="E154" s="208">
        <f t="shared" si="160"/>
        <v>0</v>
      </c>
      <c r="F154" s="208">
        <f t="shared" si="160"/>
        <v>0</v>
      </c>
      <c r="G154" s="208">
        <f t="shared" si="160"/>
        <v>0</v>
      </c>
      <c r="H154" s="208">
        <f t="shared" si="160"/>
        <v>0</v>
      </c>
      <c r="I154" s="208">
        <f t="shared" si="160"/>
        <v>0</v>
      </c>
      <c r="J154" s="208">
        <f t="shared" si="160"/>
        <v>0</v>
      </c>
      <c r="K154" s="208">
        <f t="shared" si="160"/>
        <v>0</v>
      </c>
      <c r="L154" s="208">
        <f t="shared" si="160"/>
        <v>0</v>
      </c>
      <c r="M154" s="208">
        <f t="shared" si="160"/>
        <v>0</v>
      </c>
      <c r="N154" s="208">
        <f t="shared" si="160"/>
        <v>0</v>
      </c>
      <c r="O154" s="208">
        <f t="shared" si="160"/>
        <v>0</v>
      </c>
      <c r="P154" s="208">
        <f t="shared" si="160"/>
        <v>0</v>
      </c>
      <c r="Q154" s="208">
        <f t="shared" si="160"/>
        <v>0</v>
      </c>
      <c r="R154" s="208">
        <f t="shared" si="160"/>
        <v>0</v>
      </c>
      <c r="S154" s="208">
        <f t="shared" si="160"/>
        <v>0</v>
      </c>
      <c r="T154" s="246">
        <f t="shared" ref="T154:T165" si="161">SUM(C154:S154)</f>
        <v>0</v>
      </c>
      <c r="U154" s="205">
        <v>41294</v>
      </c>
      <c r="V154" s="237"/>
      <c r="W154" s="231"/>
      <c r="X154" s="231"/>
      <c r="Y154" s="231"/>
      <c r="Z154" s="231"/>
      <c r="AA154" s="231"/>
      <c r="AB154" s="231"/>
      <c r="AC154" s="231"/>
      <c r="AD154" s="231"/>
      <c r="AE154" s="231"/>
      <c r="AF154" s="231"/>
      <c r="AG154" s="231"/>
      <c r="AH154" s="231"/>
      <c r="AI154" s="231"/>
      <c r="AJ154" s="231"/>
      <c r="AK154" s="231"/>
      <c r="AL154" s="231"/>
      <c r="AM154" s="231"/>
      <c r="AN154" s="205">
        <v>41294</v>
      </c>
      <c r="AO154" s="231"/>
      <c r="AP154" s="231"/>
      <c r="AQ154" s="231"/>
      <c r="AR154" s="231"/>
      <c r="AS154" s="231"/>
      <c r="AT154" s="231"/>
      <c r="AU154" s="231"/>
      <c r="AV154" s="231"/>
      <c r="AW154" s="231"/>
      <c r="AX154" s="231"/>
      <c r="AY154" s="231"/>
      <c r="AZ154" s="231"/>
      <c r="BA154" s="231"/>
      <c r="BB154" s="231"/>
      <c r="BC154" s="231"/>
      <c r="BD154" s="231"/>
      <c r="BE154" s="231"/>
      <c r="BF154" s="205">
        <v>41294</v>
      </c>
      <c r="BG154" s="259"/>
      <c r="BH154" s="259"/>
      <c r="BI154" s="259"/>
      <c r="BJ154" s="259"/>
      <c r="BK154" s="259"/>
      <c r="BL154" s="259"/>
      <c r="BM154" s="259"/>
      <c r="BN154" s="259"/>
      <c r="BO154" s="259"/>
      <c r="BP154" s="259"/>
      <c r="BQ154" s="259"/>
      <c r="BR154" s="259"/>
      <c r="BS154" s="259"/>
      <c r="BT154" s="259"/>
      <c r="BU154" s="259"/>
      <c r="BV154" s="259"/>
      <c r="BW154" s="259"/>
    </row>
    <row r="155" spans="1:75">
      <c r="A155" s="205">
        <v>41325</v>
      </c>
      <c r="B155" s="75"/>
      <c r="C155" s="206">
        <f t="shared" ref="C155:S155" si="162">ROUND((C71-C72),2)</f>
        <v>0</v>
      </c>
      <c r="D155" s="208">
        <f t="shared" si="162"/>
        <v>0</v>
      </c>
      <c r="E155" s="208">
        <f t="shared" si="162"/>
        <v>0</v>
      </c>
      <c r="F155" s="208">
        <f t="shared" si="162"/>
        <v>0</v>
      </c>
      <c r="G155" s="208">
        <f t="shared" si="162"/>
        <v>0</v>
      </c>
      <c r="H155" s="208">
        <f t="shared" si="162"/>
        <v>0</v>
      </c>
      <c r="I155" s="208">
        <f t="shared" si="162"/>
        <v>0</v>
      </c>
      <c r="J155" s="208">
        <f t="shared" si="162"/>
        <v>0</v>
      </c>
      <c r="K155" s="208">
        <f t="shared" si="162"/>
        <v>0</v>
      </c>
      <c r="L155" s="208">
        <f t="shared" si="162"/>
        <v>0</v>
      </c>
      <c r="M155" s="208">
        <f t="shared" si="162"/>
        <v>0</v>
      </c>
      <c r="N155" s="208">
        <f t="shared" si="162"/>
        <v>0</v>
      </c>
      <c r="O155" s="208">
        <f t="shared" si="162"/>
        <v>0</v>
      </c>
      <c r="P155" s="208">
        <f t="shared" si="162"/>
        <v>0</v>
      </c>
      <c r="Q155" s="208">
        <f t="shared" si="162"/>
        <v>0</v>
      </c>
      <c r="R155" s="208">
        <f t="shared" si="162"/>
        <v>0</v>
      </c>
      <c r="S155" s="208">
        <f t="shared" si="162"/>
        <v>0</v>
      </c>
      <c r="T155" s="246">
        <f t="shared" si="161"/>
        <v>0</v>
      </c>
      <c r="U155" s="205">
        <v>41325</v>
      </c>
      <c r="V155" s="237"/>
      <c r="W155" s="231"/>
      <c r="X155" s="231"/>
      <c r="Y155" s="231"/>
      <c r="Z155" s="231"/>
      <c r="AA155" s="231"/>
      <c r="AB155" s="231"/>
      <c r="AC155" s="231"/>
      <c r="AD155" s="231"/>
      <c r="AE155" s="231"/>
      <c r="AF155" s="231"/>
      <c r="AG155" s="231"/>
      <c r="AH155" s="231"/>
      <c r="AI155" s="231"/>
      <c r="AJ155" s="231"/>
      <c r="AK155" s="231"/>
      <c r="AL155" s="231"/>
      <c r="AM155" s="231"/>
      <c r="AN155" s="205">
        <v>41325</v>
      </c>
      <c r="AO155" s="231"/>
      <c r="AP155" s="231"/>
      <c r="AQ155" s="231"/>
      <c r="AR155" s="231"/>
      <c r="AS155" s="231"/>
      <c r="AT155" s="231"/>
      <c r="AU155" s="231"/>
      <c r="AV155" s="231"/>
      <c r="AW155" s="231"/>
      <c r="AX155" s="231"/>
      <c r="AY155" s="231"/>
      <c r="AZ155" s="231"/>
      <c r="BA155" s="231"/>
      <c r="BB155" s="231"/>
      <c r="BC155" s="231"/>
      <c r="BD155" s="231"/>
      <c r="BE155" s="231"/>
      <c r="BF155" s="205">
        <v>41325</v>
      </c>
      <c r="BG155" s="259"/>
      <c r="BH155" s="259"/>
      <c r="BI155" s="259"/>
      <c r="BJ155" s="259"/>
      <c r="BK155" s="259"/>
      <c r="BL155" s="259"/>
      <c r="BM155" s="259"/>
      <c r="BN155" s="259"/>
      <c r="BO155" s="259"/>
      <c r="BP155" s="259"/>
      <c r="BQ155" s="259"/>
      <c r="BR155" s="259"/>
      <c r="BS155" s="259"/>
      <c r="BT155" s="259"/>
      <c r="BU155" s="259"/>
      <c r="BV155" s="259"/>
      <c r="BW155" s="259"/>
    </row>
    <row r="156" spans="1:75">
      <c r="A156" s="205">
        <v>41353</v>
      </c>
      <c r="B156" s="75"/>
      <c r="C156" s="206">
        <f t="shared" ref="C156:S156" si="163">ROUND((C72-C73),2)</f>
        <v>0</v>
      </c>
      <c r="D156" s="208">
        <f t="shared" si="163"/>
        <v>0</v>
      </c>
      <c r="E156" s="208">
        <f t="shared" si="163"/>
        <v>0</v>
      </c>
      <c r="F156" s="208">
        <f t="shared" si="163"/>
        <v>0</v>
      </c>
      <c r="G156" s="208">
        <f t="shared" si="163"/>
        <v>0</v>
      </c>
      <c r="H156" s="208">
        <f t="shared" si="163"/>
        <v>0</v>
      </c>
      <c r="I156" s="208">
        <f t="shared" si="163"/>
        <v>0</v>
      </c>
      <c r="J156" s="208">
        <f t="shared" si="163"/>
        <v>0</v>
      </c>
      <c r="K156" s="208">
        <f t="shared" si="163"/>
        <v>0</v>
      </c>
      <c r="L156" s="208">
        <f t="shared" si="163"/>
        <v>0</v>
      </c>
      <c r="M156" s="208">
        <f t="shared" si="163"/>
        <v>0</v>
      </c>
      <c r="N156" s="208">
        <f t="shared" si="163"/>
        <v>0</v>
      </c>
      <c r="O156" s="208">
        <f t="shared" si="163"/>
        <v>0</v>
      </c>
      <c r="P156" s="208">
        <f t="shared" si="163"/>
        <v>0</v>
      </c>
      <c r="Q156" s="208">
        <f t="shared" si="163"/>
        <v>0</v>
      </c>
      <c r="R156" s="208">
        <f t="shared" si="163"/>
        <v>0</v>
      </c>
      <c r="S156" s="208">
        <f t="shared" si="163"/>
        <v>0</v>
      </c>
      <c r="T156" s="246">
        <f t="shared" si="161"/>
        <v>0</v>
      </c>
      <c r="U156" s="205">
        <v>41353</v>
      </c>
      <c r="V156" s="237"/>
      <c r="W156" s="231"/>
      <c r="X156" s="231"/>
      <c r="Y156" s="231"/>
      <c r="Z156" s="231"/>
      <c r="AA156" s="231"/>
      <c r="AB156" s="231"/>
      <c r="AC156" s="231"/>
      <c r="AD156" s="231"/>
      <c r="AE156" s="231"/>
      <c r="AF156" s="231"/>
      <c r="AG156" s="231"/>
      <c r="AH156" s="231"/>
      <c r="AI156" s="231"/>
      <c r="AJ156" s="231"/>
      <c r="AK156" s="231"/>
      <c r="AL156" s="231"/>
      <c r="AM156" s="231"/>
      <c r="AN156" s="205">
        <v>41353</v>
      </c>
      <c r="AO156" s="231"/>
      <c r="AP156" s="231"/>
      <c r="AQ156" s="231"/>
      <c r="AR156" s="231"/>
      <c r="AS156" s="231"/>
      <c r="AT156" s="231"/>
      <c r="AU156" s="231"/>
      <c r="AV156" s="231"/>
      <c r="AW156" s="231"/>
      <c r="AX156" s="231"/>
      <c r="AY156" s="231"/>
      <c r="AZ156" s="231"/>
      <c r="BA156" s="231"/>
      <c r="BB156" s="231"/>
      <c r="BC156" s="231"/>
      <c r="BD156" s="231"/>
      <c r="BE156" s="231"/>
      <c r="BF156" s="205">
        <v>41353</v>
      </c>
      <c r="BG156" s="259"/>
      <c r="BH156" s="259"/>
      <c r="BI156" s="259"/>
      <c r="BJ156" s="259"/>
      <c r="BK156" s="259"/>
      <c r="BL156" s="259"/>
      <c r="BM156" s="259"/>
      <c r="BN156" s="259"/>
      <c r="BO156" s="259"/>
      <c r="BP156" s="259"/>
      <c r="BQ156" s="259"/>
      <c r="BR156" s="259"/>
      <c r="BS156" s="259"/>
      <c r="BT156" s="259"/>
      <c r="BU156" s="259"/>
      <c r="BV156" s="259"/>
      <c r="BW156" s="259"/>
    </row>
    <row r="157" spans="1:75">
      <c r="A157" s="205">
        <v>41384</v>
      </c>
      <c r="B157" s="75"/>
      <c r="C157" s="206">
        <f t="shared" ref="C157:S157" si="164">ROUND((C73-C74),2)</f>
        <v>0</v>
      </c>
      <c r="D157" s="208">
        <f t="shared" si="164"/>
        <v>0</v>
      </c>
      <c r="E157" s="208">
        <f t="shared" si="164"/>
        <v>0</v>
      </c>
      <c r="F157" s="208">
        <f t="shared" si="164"/>
        <v>0</v>
      </c>
      <c r="G157" s="208">
        <f t="shared" si="164"/>
        <v>0</v>
      </c>
      <c r="H157" s="208">
        <f t="shared" si="164"/>
        <v>0</v>
      </c>
      <c r="I157" s="208">
        <f t="shared" si="164"/>
        <v>0</v>
      </c>
      <c r="J157" s="208">
        <f t="shared" si="164"/>
        <v>0</v>
      </c>
      <c r="K157" s="208">
        <f t="shared" si="164"/>
        <v>0</v>
      </c>
      <c r="L157" s="208">
        <f t="shared" si="164"/>
        <v>0</v>
      </c>
      <c r="M157" s="208">
        <f t="shared" si="164"/>
        <v>0</v>
      </c>
      <c r="N157" s="208">
        <f t="shared" si="164"/>
        <v>0</v>
      </c>
      <c r="O157" s="208">
        <f t="shared" si="164"/>
        <v>0</v>
      </c>
      <c r="P157" s="208">
        <f t="shared" si="164"/>
        <v>0</v>
      </c>
      <c r="Q157" s="208">
        <f t="shared" si="164"/>
        <v>0</v>
      </c>
      <c r="R157" s="208">
        <f t="shared" si="164"/>
        <v>0</v>
      </c>
      <c r="S157" s="208">
        <f t="shared" si="164"/>
        <v>0</v>
      </c>
      <c r="T157" s="246">
        <f t="shared" si="161"/>
        <v>0</v>
      </c>
      <c r="U157" s="205">
        <v>41384</v>
      </c>
      <c r="V157" s="237"/>
      <c r="W157" s="231"/>
      <c r="X157" s="231"/>
      <c r="Y157" s="231"/>
      <c r="Z157" s="231"/>
      <c r="AA157" s="231"/>
      <c r="AB157" s="231"/>
      <c r="AC157" s="231"/>
      <c r="AD157" s="231"/>
      <c r="AE157" s="231"/>
      <c r="AF157" s="231"/>
      <c r="AG157" s="231"/>
      <c r="AH157" s="231"/>
      <c r="AI157" s="231"/>
      <c r="AJ157" s="231"/>
      <c r="AK157" s="231"/>
      <c r="AL157" s="231"/>
      <c r="AM157" s="231"/>
      <c r="AN157" s="205">
        <v>41384</v>
      </c>
      <c r="AO157" s="231"/>
      <c r="AP157" s="231"/>
      <c r="AQ157" s="231"/>
      <c r="AR157" s="231"/>
      <c r="AS157" s="231"/>
      <c r="AT157" s="231"/>
      <c r="AU157" s="231"/>
      <c r="AV157" s="231"/>
      <c r="AW157" s="231"/>
      <c r="AX157" s="231"/>
      <c r="AY157" s="231"/>
      <c r="AZ157" s="231"/>
      <c r="BA157" s="231"/>
      <c r="BB157" s="231"/>
      <c r="BC157" s="231"/>
      <c r="BD157" s="231"/>
      <c r="BE157" s="231"/>
      <c r="BF157" s="205">
        <v>41384</v>
      </c>
      <c r="BG157" s="259"/>
      <c r="BH157" s="259"/>
      <c r="BI157" s="259"/>
      <c r="BJ157" s="259"/>
      <c r="BK157" s="259"/>
      <c r="BL157" s="259"/>
      <c r="BM157" s="259"/>
      <c r="BN157" s="259"/>
      <c r="BO157" s="259"/>
      <c r="BP157" s="259"/>
      <c r="BQ157" s="259"/>
      <c r="BR157" s="259"/>
      <c r="BS157" s="259"/>
      <c r="BT157" s="259"/>
      <c r="BU157" s="259"/>
      <c r="BV157" s="259"/>
      <c r="BW157" s="259"/>
    </row>
    <row r="158" spans="1:75">
      <c r="A158" s="740">
        <v>41414</v>
      </c>
      <c r="B158" s="75"/>
      <c r="C158" s="206">
        <f t="shared" ref="C158:S158" si="165">ROUND((C74-C75),2)</f>
        <v>0</v>
      </c>
      <c r="D158" s="208">
        <f t="shared" si="165"/>
        <v>0</v>
      </c>
      <c r="E158" s="208">
        <f t="shared" si="165"/>
        <v>0</v>
      </c>
      <c r="F158" s="208">
        <f t="shared" si="165"/>
        <v>0</v>
      </c>
      <c r="G158" s="208">
        <f t="shared" si="165"/>
        <v>0</v>
      </c>
      <c r="H158" s="208">
        <f t="shared" si="165"/>
        <v>0</v>
      </c>
      <c r="I158" s="208">
        <f t="shared" si="165"/>
        <v>0</v>
      </c>
      <c r="J158" s="208">
        <f t="shared" si="165"/>
        <v>0</v>
      </c>
      <c r="K158" s="208">
        <f t="shared" si="165"/>
        <v>0</v>
      </c>
      <c r="L158" s="208">
        <f t="shared" si="165"/>
        <v>0</v>
      </c>
      <c r="M158" s="208">
        <f t="shared" si="165"/>
        <v>0</v>
      </c>
      <c r="N158" s="208">
        <f t="shared" si="165"/>
        <v>0</v>
      </c>
      <c r="O158" s="208">
        <f t="shared" si="165"/>
        <v>0</v>
      </c>
      <c r="P158" s="208">
        <f t="shared" si="165"/>
        <v>0</v>
      </c>
      <c r="Q158" s="208">
        <f t="shared" si="165"/>
        <v>0</v>
      </c>
      <c r="R158" s="208">
        <f t="shared" si="165"/>
        <v>0</v>
      </c>
      <c r="S158" s="208">
        <f t="shared" si="165"/>
        <v>0</v>
      </c>
      <c r="T158" s="246">
        <f t="shared" si="161"/>
        <v>0</v>
      </c>
      <c r="U158" s="740">
        <v>41414</v>
      </c>
      <c r="V158" s="237"/>
      <c r="W158" s="231"/>
      <c r="X158" s="231"/>
      <c r="Y158" s="231"/>
      <c r="Z158" s="231"/>
      <c r="AA158" s="231"/>
      <c r="AB158" s="231"/>
      <c r="AC158" s="231"/>
      <c r="AD158" s="231"/>
      <c r="AE158" s="231"/>
      <c r="AF158" s="231"/>
      <c r="AG158" s="231"/>
      <c r="AH158" s="231"/>
      <c r="AI158" s="231"/>
      <c r="AJ158" s="231"/>
      <c r="AK158" s="231"/>
      <c r="AL158" s="231"/>
      <c r="AM158" s="231"/>
      <c r="AN158" s="740">
        <v>41414</v>
      </c>
      <c r="AO158" s="231"/>
      <c r="AP158" s="231"/>
      <c r="AQ158" s="231"/>
      <c r="AR158" s="231"/>
      <c r="AS158" s="231"/>
      <c r="AT158" s="231"/>
      <c r="AU158" s="231"/>
      <c r="AV158" s="231"/>
      <c r="AW158" s="231"/>
      <c r="AX158" s="231"/>
      <c r="AY158" s="231"/>
      <c r="AZ158" s="231"/>
      <c r="BA158" s="231"/>
      <c r="BB158" s="231"/>
      <c r="BC158" s="231"/>
      <c r="BD158" s="231"/>
      <c r="BE158" s="231"/>
      <c r="BF158" s="740">
        <v>41414</v>
      </c>
      <c r="BG158" s="259"/>
      <c r="BH158" s="259"/>
      <c r="BI158" s="259"/>
      <c r="BJ158" s="259"/>
      <c r="BK158" s="259"/>
      <c r="BL158" s="259"/>
      <c r="BM158" s="259"/>
      <c r="BN158" s="259"/>
      <c r="BO158" s="259"/>
      <c r="BP158" s="259"/>
      <c r="BQ158" s="259"/>
      <c r="BR158" s="259"/>
      <c r="BS158" s="259"/>
      <c r="BT158" s="259"/>
      <c r="BU158" s="259"/>
      <c r="BV158" s="259"/>
      <c r="BW158" s="259"/>
    </row>
    <row r="159" spans="1:75">
      <c r="A159" s="205">
        <v>41445</v>
      </c>
      <c r="B159" s="75"/>
      <c r="C159" s="206">
        <f t="shared" ref="C159:S159" si="166">ROUND((C75-C76),2)</f>
        <v>0</v>
      </c>
      <c r="D159" s="208">
        <f t="shared" si="166"/>
        <v>0</v>
      </c>
      <c r="E159" s="208">
        <f t="shared" si="166"/>
        <v>0</v>
      </c>
      <c r="F159" s="208">
        <f t="shared" si="166"/>
        <v>0</v>
      </c>
      <c r="G159" s="208">
        <f t="shared" si="166"/>
        <v>0</v>
      </c>
      <c r="H159" s="208">
        <f t="shared" si="166"/>
        <v>0</v>
      </c>
      <c r="I159" s="208">
        <f t="shared" si="166"/>
        <v>0</v>
      </c>
      <c r="J159" s="208">
        <f t="shared" si="166"/>
        <v>0</v>
      </c>
      <c r="K159" s="208">
        <f t="shared" si="166"/>
        <v>0</v>
      </c>
      <c r="L159" s="208">
        <f t="shared" si="166"/>
        <v>0</v>
      </c>
      <c r="M159" s="208">
        <f t="shared" si="166"/>
        <v>0</v>
      </c>
      <c r="N159" s="208">
        <f t="shared" si="166"/>
        <v>0</v>
      </c>
      <c r="O159" s="208">
        <f t="shared" si="166"/>
        <v>0</v>
      </c>
      <c r="P159" s="208">
        <f t="shared" si="166"/>
        <v>0</v>
      </c>
      <c r="Q159" s="208">
        <f t="shared" si="166"/>
        <v>0</v>
      </c>
      <c r="R159" s="208">
        <f t="shared" si="166"/>
        <v>0</v>
      </c>
      <c r="S159" s="208">
        <f t="shared" si="166"/>
        <v>0</v>
      </c>
      <c r="T159" s="246">
        <f t="shared" si="161"/>
        <v>0</v>
      </c>
      <c r="U159" s="205">
        <v>41445</v>
      </c>
      <c r="V159" s="237"/>
      <c r="W159" s="231"/>
      <c r="X159" s="231"/>
      <c r="Y159" s="231"/>
      <c r="Z159" s="231"/>
      <c r="AA159" s="231"/>
      <c r="AB159" s="231"/>
      <c r="AC159" s="231"/>
      <c r="AD159" s="231"/>
      <c r="AE159" s="231"/>
      <c r="AF159" s="231"/>
      <c r="AG159" s="231"/>
      <c r="AH159" s="231"/>
      <c r="AI159" s="231"/>
      <c r="AJ159" s="231"/>
      <c r="AK159" s="231"/>
      <c r="AL159" s="231"/>
      <c r="AM159" s="231"/>
      <c r="AN159" s="205">
        <v>41445</v>
      </c>
      <c r="AO159" s="231"/>
      <c r="AP159" s="231"/>
      <c r="AQ159" s="231"/>
      <c r="AR159" s="231"/>
      <c r="AS159" s="231"/>
      <c r="AT159" s="231"/>
      <c r="AU159" s="231"/>
      <c r="AV159" s="231"/>
      <c r="AW159" s="231"/>
      <c r="AX159" s="231"/>
      <c r="AY159" s="231"/>
      <c r="AZ159" s="231"/>
      <c r="BA159" s="231"/>
      <c r="BB159" s="231"/>
      <c r="BC159" s="231"/>
      <c r="BD159" s="231"/>
      <c r="BE159" s="231"/>
      <c r="BF159" s="205">
        <v>41445</v>
      </c>
      <c r="BG159" s="259"/>
      <c r="BH159" s="259"/>
      <c r="BI159" s="259"/>
      <c r="BJ159" s="259"/>
      <c r="BK159" s="259"/>
      <c r="BL159" s="259"/>
      <c r="BM159" s="259"/>
      <c r="BN159" s="259"/>
      <c r="BO159" s="259"/>
      <c r="BP159" s="259"/>
      <c r="BQ159" s="259"/>
      <c r="BR159" s="259"/>
      <c r="BS159" s="259"/>
      <c r="BT159" s="259"/>
      <c r="BU159" s="259"/>
      <c r="BV159" s="259"/>
      <c r="BW159" s="259"/>
    </row>
    <row r="160" spans="1:75">
      <c r="A160" s="205">
        <v>41475</v>
      </c>
      <c r="B160" s="75"/>
      <c r="C160" s="206">
        <f t="shared" ref="C160:S160" si="167">ROUND((C76-C77),2)</f>
        <v>0</v>
      </c>
      <c r="D160" s="208">
        <f t="shared" si="167"/>
        <v>0</v>
      </c>
      <c r="E160" s="208">
        <f t="shared" si="167"/>
        <v>0</v>
      </c>
      <c r="F160" s="208">
        <f t="shared" si="167"/>
        <v>0</v>
      </c>
      <c r="G160" s="208">
        <f t="shared" si="167"/>
        <v>0</v>
      </c>
      <c r="H160" s="208">
        <f t="shared" si="167"/>
        <v>0</v>
      </c>
      <c r="I160" s="208">
        <f t="shared" si="167"/>
        <v>0</v>
      </c>
      <c r="J160" s="208">
        <f t="shared" si="167"/>
        <v>0</v>
      </c>
      <c r="K160" s="208">
        <f t="shared" si="167"/>
        <v>0</v>
      </c>
      <c r="L160" s="208">
        <f t="shared" si="167"/>
        <v>0</v>
      </c>
      <c r="M160" s="208">
        <f t="shared" si="167"/>
        <v>0</v>
      </c>
      <c r="N160" s="208">
        <f t="shared" si="167"/>
        <v>0</v>
      </c>
      <c r="O160" s="208">
        <f t="shared" si="167"/>
        <v>0</v>
      </c>
      <c r="P160" s="208">
        <f t="shared" si="167"/>
        <v>0</v>
      </c>
      <c r="Q160" s="208">
        <f t="shared" si="167"/>
        <v>0</v>
      </c>
      <c r="R160" s="208">
        <f t="shared" si="167"/>
        <v>0</v>
      </c>
      <c r="S160" s="208">
        <f t="shared" si="167"/>
        <v>0</v>
      </c>
      <c r="T160" s="246">
        <f t="shared" si="161"/>
        <v>0</v>
      </c>
      <c r="U160" s="205">
        <v>41475</v>
      </c>
      <c r="V160" s="237"/>
      <c r="W160" s="231"/>
      <c r="X160" s="231"/>
      <c r="Y160" s="231"/>
      <c r="Z160" s="231"/>
      <c r="AA160" s="231"/>
      <c r="AB160" s="231"/>
      <c r="AC160" s="231"/>
      <c r="AD160" s="231"/>
      <c r="AE160" s="231"/>
      <c r="AF160" s="231"/>
      <c r="AG160" s="231"/>
      <c r="AH160" s="231"/>
      <c r="AI160" s="231"/>
      <c r="AJ160" s="231"/>
      <c r="AK160" s="231"/>
      <c r="AL160" s="231"/>
      <c r="AM160" s="231"/>
      <c r="AN160" s="205">
        <v>41475</v>
      </c>
      <c r="AO160" s="231"/>
      <c r="AP160" s="231"/>
      <c r="AQ160" s="231"/>
      <c r="AR160" s="231"/>
      <c r="AS160" s="231"/>
      <c r="AT160" s="231"/>
      <c r="AU160" s="231"/>
      <c r="AV160" s="231"/>
      <c r="AW160" s="231"/>
      <c r="AX160" s="231"/>
      <c r="AY160" s="231"/>
      <c r="AZ160" s="231"/>
      <c r="BA160" s="231"/>
      <c r="BB160" s="231"/>
      <c r="BC160" s="231"/>
      <c r="BD160" s="231"/>
      <c r="BE160" s="231"/>
      <c r="BF160" s="205">
        <v>41475</v>
      </c>
      <c r="BG160" s="259"/>
      <c r="BH160" s="259"/>
      <c r="BI160" s="259"/>
      <c r="BJ160" s="259"/>
      <c r="BK160" s="259"/>
      <c r="BL160" s="259"/>
      <c r="BM160" s="259"/>
      <c r="BN160" s="259"/>
      <c r="BO160" s="259"/>
      <c r="BP160" s="259"/>
      <c r="BQ160" s="259"/>
      <c r="BR160" s="259"/>
      <c r="BS160" s="259"/>
      <c r="BT160" s="259"/>
      <c r="BU160" s="259"/>
      <c r="BV160" s="259"/>
      <c r="BW160" s="259"/>
    </row>
    <row r="161" spans="1:75">
      <c r="A161" s="205">
        <v>41506</v>
      </c>
      <c r="B161" s="75"/>
      <c r="C161" s="206">
        <f t="shared" ref="C161:S161" si="168">ROUND((C77-C78),2)</f>
        <v>0</v>
      </c>
      <c r="D161" s="208">
        <f t="shared" si="168"/>
        <v>0</v>
      </c>
      <c r="E161" s="208">
        <f t="shared" si="168"/>
        <v>0</v>
      </c>
      <c r="F161" s="208">
        <f t="shared" si="168"/>
        <v>0</v>
      </c>
      <c r="G161" s="208">
        <f t="shared" si="168"/>
        <v>0</v>
      </c>
      <c r="H161" s="208">
        <f t="shared" si="168"/>
        <v>0</v>
      </c>
      <c r="I161" s="208">
        <f t="shared" si="168"/>
        <v>0</v>
      </c>
      <c r="J161" s="208">
        <f t="shared" si="168"/>
        <v>0</v>
      </c>
      <c r="K161" s="208">
        <f t="shared" si="168"/>
        <v>0</v>
      </c>
      <c r="L161" s="208">
        <f t="shared" si="168"/>
        <v>0</v>
      </c>
      <c r="M161" s="208">
        <f t="shared" si="168"/>
        <v>0</v>
      </c>
      <c r="N161" s="208">
        <f t="shared" si="168"/>
        <v>0</v>
      </c>
      <c r="O161" s="208">
        <f t="shared" si="168"/>
        <v>0</v>
      </c>
      <c r="P161" s="208">
        <f t="shared" si="168"/>
        <v>0</v>
      </c>
      <c r="Q161" s="208">
        <f t="shared" si="168"/>
        <v>0</v>
      </c>
      <c r="R161" s="208">
        <f t="shared" si="168"/>
        <v>0</v>
      </c>
      <c r="S161" s="208">
        <f t="shared" si="168"/>
        <v>0</v>
      </c>
      <c r="T161" s="246">
        <f t="shared" si="161"/>
        <v>0</v>
      </c>
      <c r="U161" s="205">
        <v>41506</v>
      </c>
      <c r="V161" s="237"/>
      <c r="W161" s="231"/>
      <c r="X161" s="231"/>
      <c r="Y161" s="231"/>
      <c r="Z161" s="231"/>
      <c r="AA161" s="231"/>
      <c r="AB161" s="231"/>
      <c r="AC161" s="231"/>
      <c r="AD161" s="231"/>
      <c r="AE161" s="231"/>
      <c r="AF161" s="231"/>
      <c r="AG161" s="231"/>
      <c r="AH161" s="231"/>
      <c r="AI161" s="231"/>
      <c r="AJ161" s="231"/>
      <c r="AK161" s="231"/>
      <c r="AL161" s="231"/>
      <c r="AM161" s="231"/>
      <c r="AN161" s="205">
        <v>41506</v>
      </c>
      <c r="AO161" s="231"/>
      <c r="AP161" s="231"/>
      <c r="AQ161" s="231"/>
      <c r="AR161" s="231"/>
      <c r="AS161" s="231"/>
      <c r="AT161" s="231"/>
      <c r="AU161" s="231"/>
      <c r="AV161" s="231"/>
      <c r="AW161" s="231"/>
      <c r="AX161" s="231"/>
      <c r="AY161" s="231"/>
      <c r="AZ161" s="231"/>
      <c r="BA161" s="231"/>
      <c r="BB161" s="231"/>
      <c r="BC161" s="231"/>
      <c r="BD161" s="231"/>
      <c r="BE161" s="231"/>
      <c r="BF161" s="205">
        <v>41506</v>
      </c>
      <c r="BG161" s="259"/>
      <c r="BH161" s="259"/>
      <c r="BI161" s="259"/>
      <c r="BJ161" s="259"/>
      <c r="BK161" s="259"/>
      <c r="BL161" s="259"/>
      <c r="BM161" s="259"/>
      <c r="BN161" s="259"/>
      <c r="BO161" s="259"/>
      <c r="BP161" s="259"/>
      <c r="BQ161" s="259"/>
      <c r="BR161" s="259"/>
      <c r="BS161" s="259"/>
      <c r="BT161" s="259"/>
      <c r="BU161" s="259"/>
      <c r="BV161" s="259"/>
      <c r="BW161" s="259"/>
    </row>
    <row r="162" spans="1:75">
      <c r="A162" s="205">
        <v>41537</v>
      </c>
      <c r="B162" s="75"/>
      <c r="C162" s="206">
        <f t="shared" ref="C162:S162" si="169">ROUND((C78-C79),2)</f>
        <v>0</v>
      </c>
      <c r="D162" s="208">
        <f t="shared" si="169"/>
        <v>0</v>
      </c>
      <c r="E162" s="208">
        <f t="shared" si="169"/>
        <v>0</v>
      </c>
      <c r="F162" s="208">
        <f t="shared" si="169"/>
        <v>0</v>
      </c>
      <c r="G162" s="208">
        <f t="shared" si="169"/>
        <v>0</v>
      </c>
      <c r="H162" s="208">
        <f t="shared" si="169"/>
        <v>0</v>
      </c>
      <c r="I162" s="208">
        <f t="shared" si="169"/>
        <v>0</v>
      </c>
      <c r="J162" s="208">
        <f t="shared" si="169"/>
        <v>0</v>
      </c>
      <c r="K162" s="208">
        <f t="shared" si="169"/>
        <v>0</v>
      </c>
      <c r="L162" s="208">
        <f t="shared" si="169"/>
        <v>0</v>
      </c>
      <c r="M162" s="208">
        <f t="shared" si="169"/>
        <v>0</v>
      </c>
      <c r="N162" s="208">
        <f t="shared" si="169"/>
        <v>0</v>
      </c>
      <c r="O162" s="208">
        <f t="shared" si="169"/>
        <v>0</v>
      </c>
      <c r="P162" s="208">
        <f t="shared" si="169"/>
        <v>0</v>
      </c>
      <c r="Q162" s="208">
        <f t="shared" si="169"/>
        <v>0</v>
      </c>
      <c r="R162" s="208">
        <f t="shared" si="169"/>
        <v>0</v>
      </c>
      <c r="S162" s="208">
        <f t="shared" si="169"/>
        <v>0</v>
      </c>
      <c r="T162" s="246">
        <f t="shared" si="161"/>
        <v>0</v>
      </c>
      <c r="U162" s="205">
        <v>41537</v>
      </c>
      <c r="V162" s="237"/>
      <c r="W162" s="231"/>
      <c r="X162" s="231"/>
      <c r="Y162" s="231"/>
      <c r="Z162" s="231"/>
      <c r="AA162" s="231"/>
      <c r="AB162" s="231"/>
      <c r="AC162" s="231"/>
      <c r="AD162" s="231"/>
      <c r="AE162" s="231"/>
      <c r="AF162" s="231"/>
      <c r="AG162" s="231"/>
      <c r="AH162" s="231"/>
      <c r="AI162" s="231"/>
      <c r="AJ162" s="231"/>
      <c r="AK162" s="231"/>
      <c r="AL162" s="231"/>
      <c r="AM162" s="231"/>
      <c r="AN162" s="205">
        <v>41537</v>
      </c>
      <c r="AO162" s="231"/>
      <c r="AP162" s="231"/>
      <c r="AQ162" s="231"/>
      <c r="AR162" s="231"/>
      <c r="AS162" s="231"/>
      <c r="AT162" s="231"/>
      <c r="AU162" s="231"/>
      <c r="AV162" s="231"/>
      <c r="AW162" s="231"/>
      <c r="AX162" s="231"/>
      <c r="AY162" s="231"/>
      <c r="AZ162" s="231"/>
      <c r="BA162" s="231"/>
      <c r="BB162" s="231"/>
      <c r="BC162" s="231"/>
      <c r="BD162" s="231"/>
      <c r="BE162" s="231"/>
      <c r="BF162" s="205">
        <v>41537</v>
      </c>
      <c r="BG162" s="259"/>
      <c r="BH162" s="259"/>
      <c r="BI162" s="259"/>
      <c r="BJ162" s="259"/>
      <c r="BK162" s="259"/>
      <c r="BL162" s="259"/>
      <c r="BM162" s="259"/>
      <c r="BN162" s="259"/>
      <c r="BO162" s="259"/>
      <c r="BP162" s="259"/>
      <c r="BQ162" s="259"/>
      <c r="BR162" s="259"/>
      <c r="BS162" s="259"/>
      <c r="BT162" s="259"/>
      <c r="BU162" s="259"/>
      <c r="BV162" s="259"/>
      <c r="BW162" s="259"/>
    </row>
    <row r="163" spans="1:75">
      <c r="A163" s="205">
        <v>41567</v>
      </c>
      <c r="B163" s="75"/>
      <c r="C163" s="206">
        <f t="shared" ref="C163:S163" si="170">ROUND((C79-C80),2)</f>
        <v>0</v>
      </c>
      <c r="D163" s="208">
        <f t="shared" si="170"/>
        <v>0</v>
      </c>
      <c r="E163" s="208">
        <f t="shared" si="170"/>
        <v>0</v>
      </c>
      <c r="F163" s="208">
        <f t="shared" si="170"/>
        <v>0</v>
      </c>
      <c r="G163" s="208">
        <f t="shared" si="170"/>
        <v>0</v>
      </c>
      <c r="H163" s="208">
        <f t="shared" si="170"/>
        <v>0</v>
      </c>
      <c r="I163" s="208">
        <f t="shared" si="170"/>
        <v>0</v>
      </c>
      <c r="J163" s="208">
        <f t="shared" si="170"/>
        <v>0</v>
      </c>
      <c r="K163" s="208">
        <f t="shared" si="170"/>
        <v>0</v>
      </c>
      <c r="L163" s="208">
        <f t="shared" si="170"/>
        <v>0</v>
      </c>
      <c r="M163" s="208">
        <f t="shared" si="170"/>
        <v>0</v>
      </c>
      <c r="N163" s="208">
        <f t="shared" si="170"/>
        <v>0</v>
      </c>
      <c r="O163" s="208">
        <f t="shared" si="170"/>
        <v>0</v>
      </c>
      <c r="P163" s="208">
        <f t="shared" si="170"/>
        <v>0</v>
      </c>
      <c r="Q163" s="208">
        <f t="shared" si="170"/>
        <v>0</v>
      </c>
      <c r="R163" s="208">
        <f t="shared" si="170"/>
        <v>0</v>
      </c>
      <c r="S163" s="208">
        <f t="shared" si="170"/>
        <v>0</v>
      </c>
      <c r="T163" s="246">
        <f t="shared" si="161"/>
        <v>0</v>
      </c>
      <c r="U163" s="205">
        <v>41567</v>
      </c>
      <c r="V163" s="237"/>
      <c r="W163" s="231"/>
      <c r="X163" s="231"/>
      <c r="Y163" s="231"/>
      <c r="Z163" s="231"/>
      <c r="AA163" s="231"/>
      <c r="AB163" s="231"/>
      <c r="AC163" s="231"/>
      <c r="AD163" s="231"/>
      <c r="AE163" s="231"/>
      <c r="AF163" s="231"/>
      <c r="AG163" s="231"/>
      <c r="AH163" s="231"/>
      <c r="AI163" s="231"/>
      <c r="AJ163" s="231"/>
      <c r="AK163" s="231"/>
      <c r="AL163" s="231"/>
      <c r="AM163" s="231"/>
      <c r="AN163" s="205">
        <v>41567</v>
      </c>
      <c r="AO163" s="231"/>
      <c r="AP163" s="231"/>
      <c r="AQ163" s="231"/>
      <c r="AR163" s="231"/>
      <c r="AS163" s="231"/>
      <c r="AT163" s="231"/>
      <c r="AU163" s="231"/>
      <c r="AV163" s="231"/>
      <c r="AW163" s="231"/>
      <c r="AX163" s="231"/>
      <c r="AY163" s="231"/>
      <c r="AZ163" s="231"/>
      <c r="BA163" s="231"/>
      <c r="BB163" s="231"/>
      <c r="BC163" s="231"/>
      <c r="BD163" s="231"/>
      <c r="BE163" s="231"/>
      <c r="BF163" s="205">
        <v>41567</v>
      </c>
      <c r="BG163" s="259"/>
      <c r="BH163" s="259"/>
      <c r="BI163" s="259"/>
      <c r="BJ163" s="259"/>
      <c r="BK163" s="259"/>
      <c r="BL163" s="259"/>
      <c r="BM163" s="259"/>
      <c r="BN163" s="259"/>
      <c r="BO163" s="259"/>
      <c r="BP163" s="259"/>
      <c r="BQ163" s="259"/>
      <c r="BR163" s="259"/>
      <c r="BS163" s="259"/>
      <c r="BT163" s="259"/>
      <c r="BU163" s="259"/>
      <c r="BV163" s="259"/>
      <c r="BW163" s="259"/>
    </row>
    <row r="164" spans="1:75">
      <c r="A164" s="205">
        <v>41598</v>
      </c>
      <c r="B164" s="75"/>
      <c r="C164" s="206">
        <f t="shared" ref="C164:S164" si="171">ROUND((C80-C81),2)</f>
        <v>0</v>
      </c>
      <c r="D164" s="208">
        <f t="shared" si="171"/>
        <v>0</v>
      </c>
      <c r="E164" s="208">
        <f t="shared" si="171"/>
        <v>0</v>
      </c>
      <c r="F164" s="208">
        <f t="shared" si="171"/>
        <v>0</v>
      </c>
      <c r="G164" s="208">
        <f t="shared" si="171"/>
        <v>0</v>
      </c>
      <c r="H164" s="208">
        <f t="shared" si="171"/>
        <v>0</v>
      </c>
      <c r="I164" s="208">
        <f t="shared" si="171"/>
        <v>0</v>
      </c>
      <c r="J164" s="208">
        <f t="shared" si="171"/>
        <v>0</v>
      </c>
      <c r="K164" s="208">
        <f t="shared" si="171"/>
        <v>0</v>
      </c>
      <c r="L164" s="208">
        <f t="shared" si="171"/>
        <v>0</v>
      </c>
      <c r="M164" s="208">
        <f t="shared" si="171"/>
        <v>0</v>
      </c>
      <c r="N164" s="208">
        <f t="shared" si="171"/>
        <v>0</v>
      </c>
      <c r="O164" s="208">
        <f t="shared" si="171"/>
        <v>0</v>
      </c>
      <c r="P164" s="208">
        <f t="shared" si="171"/>
        <v>0</v>
      </c>
      <c r="Q164" s="208">
        <f t="shared" si="171"/>
        <v>0</v>
      </c>
      <c r="R164" s="208">
        <f t="shared" si="171"/>
        <v>0</v>
      </c>
      <c r="S164" s="208">
        <f t="shared" si="171"/>
        <v>0</v>
      </c>
      <c r="T164" s="246">
        <f t="shared" si="161"/>
        <v>0</v>
      </c>
      <c r="U164" s="205">
        <v>41598</v>
      </c>
      <c r="V164" s="237"/>
      <c r="W164" s="231"/>
      <c r="X164" s="231"/>
      <c r="Y164" s="231"/>
      <c r="Z164" s="231"/>
      <c r="AA164" s="231"/>
      <c r="AB164" s="231"/>
      <c r="AC164" s="231"/>
      <c r="AD164" s="231"/>
      <c r="AE164" s="231"/>
      <c r="AF164" s="231"/>
      <c r="AG164" s="231"/>
      <c r="AH164" s="231"/>
      <c r="AI164" s="231"/>
      <c r="AJ164" s="231"/>
      <c r="AK164" s="231"/>
      <c r="AL164" s="231"/>
      <c r="AM164" s="231"/>
      <c r="AN164" s="205">
        <v>41598</v>
      </c>
      <c r="AO164" s="231"/>
      <c r="AP164" s="231"/>
      <c r="AQ164" s="231"/>
      <c r="AR164" s="231"/>
      <c r="AS164" s="231"/>
      <c r="AT164" s="231"/>
      <c r="AU164" s="231"/>
      <c r="AV164" s="231"/>
      <c r="AW164" s="231"/>
      <c r="AX164" s="231"/>
      <c r="AY164" s="231"/>
      <c r="AZ164" s="231"/>
      <c r="BA164" s="231"/>
      <c r="BB164" s="231"/>
      <c r="BC164" s="231"/>
      <c r="BD164" s="231"/>
      <c r="BE164" s="231"/>
      <c r="BF164" s="205">
        <v>41598</v>
      </c>
      <c r="BG164" s="259"/>
      <c r="BH164" s="259"/>
      <c r="BI164" s="259"/>
      <c r="BJ164" s="259"/>
      <c r="BK164" s="259"/>
      <c r="BL164" s="259"/>
      <c r="BM164" s="259"/>
      <c r="BN164" s="259"/>
      <c r="BO164" s="259"/>
      <c r="BP164" s="259"/>
      <c r="BQ164" s="259"/>
      <c r="BR164" s="259"/>
      <c r="BS164" s="259"/>
      <c r="BT164" s="259"/>
      <c r="BU164" s="259"/>
      <c r="BV164" s="259"/>
      <c r="BW164" s="259"/>
    </row>
    <row r="165" spans="1:75">
      <c r="A165" s="205">
        <v>41628</v>
      </c>
      <c r="B165" s="75"/>
      <c r="C165" s="206">
        <f t="shared" ref="C165:S165" si="172">ROUND((C81-C82),2)</f>
        <v>0</v>
      </c>
      <c r="D165" s="208">
        <f t="shared" si="172"/>
        <v>0</v>
      </c>
      <c r="E165" s="208">
        <f t="shared" si="172"/>
        <v>0</v>
      </c>
      <c r="F165" s="208">
        <f t="shared" si="172"/>
        <v>0</v>
      </c>
      <c r="G165" s="208">
        <f t="shared" si="172"/>
        <v>0</v>
      </c>
      <c r="H165" s="208">
        <f t="shared" si="172"/>
        <v>0</v>
      </c>
      <c r="I165" s="208">
        <f t="shared" si="172"/>
        <v>0</v>
      </c>
      <c r="J165" s="208">
        <f t="shared" si="172"/>
        <v>0</v>
      </c>
      <c r="K165" s="208">
        <f t="shared" si="172"/>
        <v>0</v>
      </c>
      <c r="L165" s="208">
        <f t="shared" si="172"/>
        <v>0</v>
      </c>
      <c r="M165" s="208">
        <f t="shared" si="172"/>
        <v>0</v>
      </c>
      <c r="N165" s="208">
        <f t="shared" si="172"/>
        <v>0</v>
      </c>
      <c r="O165" s="208">
        <f t="shared" si="172"/>
        <v>0</v>
      </c>
      <c r="P165" s="208">
        <f t="shared" si="172"/>
        <v>0</v>
      </c>
      <c r="Q165" s="208">
        <f t="shared" si="172"/>
        <v>0</v>
      </c>
      <c r="R165" s="208">
        <f t="shared" si="172"/>
        <v>0</v>
      </c>
      <c r="S165" s="208">
        <f t="shared" si="172"/>
        <v>0</v>
      </c>
      <c r="T165" s="246">
        <f t="shared" si="161"/>
        <v>0</v>
      </c>
      <c r="U165" s="205">
        <v>41628</v>
      </c>
      <c r="AN165" s="205">
        <v>41628</v>
      </c>
      <c r="AP165" s="73">
        <f t="shared" ref="AP165:BE165" si="173">D165-W165</f>
        <v>0</v>
      </c>
      <c r="AQ165" s="73">
        <f t="shared" si="173"/>
        <v>0</v>
      </c>
      <c r="AR165" s="73">
        <f t="shared" si="173"/>
        <v>0</v>
      </c>
      <c r="AS165" s="73">
        <f t="shared" si="173"/>
        <v>0</v>
      </c>
      <c r="AT165" s="73">
        <f t="shared" si="173"/>
        <v>0</v>
      </c>
      <c r="AU165" s="73">
        <f t="shared" si="173"/>
        <v>0</v>
      </c>
      <c r="AV165" s="73">
        <f t="shared" si="173"/>
        <v>0</v>
      </c>
      <c r="AW165" s="73">
        <f t="shared" si="173"/>
        <v>0</v>
      </c>
      <c r="AX165" s="73">
        <f t="shared" si="173"/>
        <v>0</v>
      </c>
      <c r="AY165" s="73">
        <f t="shared" si="173"/>
        <v>0</v>
      </c>
      <c r="AZ165" s="73">
        <f t="shared" si="173"/>
        <v>0</v>
      </c>
      <c r="BA165" s="73">
        <f t="shared" si="173"/>
        <v>0</v>
      </c>
      <c r="BB165" s="73">
        <f t="shared" si="173"/>
        <v>0</v>
      </c>
      <c r="BC165" s="73">
        <f t="shared" si="173"/>
        <v>0</v>
      </c>
      <c r="BD165" s="73">
        <f t="shared" si="173"/>
        <v>0</v>
      </c>
      <c r="BE165" s="73">
        <f t="shared" si="173"/>
        <v>0</v>
      </c>
      <c r="BF165" s="205">
        <v>41628</v>
      </c>
    </row>
    <row r="166" spans="1:75">
      <c r="A166" s="75"/>
      <c r="B166" s="75"/>
    </row>
    <row r="167" spans="1:75">
      <c r="A167" s="75"/>
      <c r="B167" s="75"/>
    </row>
    <row r="168" spans="1:75" ht="13.5" thickBot="1">
      <c r="A168" s="220" t="s">
        <v>997</v>
      </c>
      <c r="B168" s="75"/>
      <c r="C168" s="73" t="s">
        <v>742</v>
      </c>
      <c r="D168" s="73" t="s">
        <v>743</v>
      </c>
      <c r="E168" s="73" t="s">
        <v>744</v>
      </c>
      <c r="F168" s="73" t="s">
        <v>745</v>
      </c>
      <c r="G168" s="73" t="s">
        <v>746</v>
      </c>
      <c r="H168" s="73" t="s">
        <v>747</v>
      </c>
      <c r="I168" s="73" t="s">
        <v>748</v>
      </c>
      <c r="J168" s="73" t="s">
        <v>749</v>
      </c>
      <c r="K168" s="73" t="s">
        <v>750</v>
      </c>
      <c r="L168" s="73" t="s">
        <v>751</v>
      </c>
      <c r="M168" s="73" t="s">
        <v>752</v>
      </c>
      <c r="N168" s="73" t="s">
        <v>753</v>
      </c>
      <c r="O168" s="73" t="s">
        <v>754</v>
      </c>
      <c r="P168" s="73" t="s">
        <v>755</v>
      </c>
      <c r="Q168" s="73" t="s">
        <v>756</v>
      </c>
      <c r="R168" s="73" t="s">
        <v>757</v>
      </c>
      <c r="S168" s="73" t="s">
        <v>758</v>
      </c>
      <c r="T168" s="73" t="s">
        <v>993</v>
      </c>
    </row>
    <row r="169" spans="1:75">
      <c r="A169" s="75">
        <v>39239</v>
      </c>
      <c r="B169" s="75"/>
      <c r="C169" s="253">
        <f t="shared" ref="C169:L171" si="174">C3-V86</f>
        <v>2100000000</v>
      </c>
      <c r="D169" s="254">
        <f t="shared" si="174"/>
        <v>454500000</v>
      </c>
      <c r="E169" s="254">
        <f t="shared" si="174"/>
        <v>149300000</v>
      </c>
      <c r="F169" s="254">
        <f t="shared" si="174"/>
        <v>1813500000</v>
      </c>
      <c r="G169" s="254">
        <f t="shared" si="174"/>
        <v>500000000</v>
      </c>
      <c r="H169" s="254">
        <f t="shared" si="174"/>
        <v>2429000000</v>
      </c>
      <c r="I169" s="254">
        <f t="shared" si="174"/>
        <v>1146000000</v>
      </c>
      <c r="J169" s="254">
        <f t="shared" si="174"/>
        <v>768500000</v>
      </c>
      <c r="K169" s="254">
        <f t="shared" si="174"/>
        <v>86000000</v>
      </c>
      <c r="L169" s="254">
        <f t="shared" si="174"/>
        <v>140000000</v>
      </c>
      <c r="M169" s="254">
        <f t="shared" ref="M169:S171" si="175">M3-AF86</f>
        <v>20000000</v>
      </c>
      <c r="N169" s="254">
        <f t="shared" si="175"/>
        <v>65000000</v>
      </c>
      <c r="O169" s="254">
        <f t="shared" si="175"/>
        <v>95100000</v>
      </c>
      <c r="P169" s="254">
        <f t="shared" si="175"/>
        <v>40000000</v>
      </c>
      <c r="Q169" s="254">
        <f t="shared" si="175"/>
        <v>45000000</v>
      </c>
      <c r="R169" s="254">
        <f t="shared" si="175"/>
        <v>190900000</v>
      </c>
      <c r="S169" s="254">
        <f t="shared" si="175"/>
        <v>22000000</v>
      </c>
      <c r="T169" s="255">
        <f t="shared" ref="T169:T200" si="176">SUM(C169:S169)</f>
        <v>10064800000</v>
      </c>
    </row>
    <row r="170" spans="1:75">
      <c r="A170" s="75">
        <v>39253</v>
      </c>
      <c r="B170" s="75"/>
      <c r="C170" s="258">
        <f t="shared" si="174"/>
        <v>2100000000</v>
      </c>
      <c r="D170" s="259">
        <f t="shared" si="174"/>
        <v>454500000</v>
      </c>
      <c r="E170" s="259">
        <f t="shared" si="174"/>
        <v>149300000</v>
      </c>
      <c r="F170" s="259">
        <f t="shared" si="174"/>
        <v>1813500000</v>
      </c>
      <c r="G170" s="259">
        <f t="shared" si="174"/>
        <v>500000000</v>
      </c>
      <c r="H170" s="259">
        <f t="shared" si="174"/>
        <v>2429000000</v>
      </c>
      <c r="I170" s="259">
        <f t="shared" si="174"/>
        <v>1146000000</v>
      </c>
      <c r="J170" s="259">
        <f t="shared" si="174"/>
        <v>768500000</v>
      </c>
      <c r="K170" s="259">
        <f t="shared" si="174"/>
        <v>86000000</v>
      </c>
      <c r="L170" s="259">
        <f t="shared" si="174"/>
        <v>140000000</v>
      </c>
      <c r="M170" s="259">
        <f t="shared" si="175"/>
        <v>20000000</v>
      </c>
      <c r="N170" s="259">
        <f t="shared" si="175"/>
        <v>65000000</v>
      </c>
      <c r="O170" s="259">
        <f t="shared" si="175"/>
        <v>95100000</v>
      </c>
      <c r="P170" s="259">
        <f t="shared" si="175"/>
        <v>40000000</v>
      </c>
      <c r="Q170" s="259">
        <f t="shared" si="175"/>
        <v>45000000</v>
      </c>
      <c r="R170" s="259">
        <f t="shared" si="175"/>
        <v>190900000</v>
      </c>
      <c r="S170" s="259">
        <f t="shared" si="175"/>
        <v>22000000</v>
      </c>
      <c r="T170" s="260">
        <f t="shared" si="176"/>
        <v>10064800000</v>
      </c>
    </row>
    <row r="171" spans="1:75">
      <c r="A171" s="75">
        <v>39283</v>
      </c>
      <c r="B171" s="75"/>
      <c r="C171" s="258">
        <f t="shared" si="174"/>
        <v>2100000000</v>
      </c>
      <c r="D171" s="259">
        <f t="shared" si="174"/>
        <v>454500000</v>
      </c>
      <c r="E171" s="259">
        <f t="shared" si="174"/>
        <v>149300000</v>
      </c>
      <c r="F171" s="259">
        <f t="shared" si="174"/>
        <v>1813500000</v>
      </c>
      <c r="G171" s="259">
        <f t="shared" si="174"/>
        <v>500000000</v>
      </c>
      <c r="H171" s="259">
        <f t="shared" si="174"/>
        <v>2429000000</v>
      </c>
      <c r="I171" s="259">
        <f t="shared" si="174"/>
        <v>1146000000</v>
      </c>
      <c r="J171" s="259">
        <f t="shared" si="174"/>
        <v>768500000</v>
      </c>
      <c r="K171" s="259">
        <f t="shared" si="174"/>
        <v>86000000</v>
      </c>
      <c r="L171" s="259">
        <f t="shared" si="174"/>
        <v>140000000</v>
      </c>
      <c r="M171" s="259">
        <f t="shared" si="175"/>
        <v>20000000</v>
      </c>
      <c r="N171" s="259">
        <f t="shared" si="175"/>
        <v>65000000</v>
      </c>
      <c r="O171" s="259">
        <f t="shared" si="175"/>
        <v>95100000</v>
      </c>
      <c r="P171" s="259">
        <f t="shared" si="175"/>
        <v>40000000</v>
      </c>
      <c r="Q171" s="259">
        <f t="shared" si="175"/>
        <v>45000000</v>
      </c>
      <c r="R171" s="259">
        <f t="shared" si="175"/>
        <v>190900000</v>
      </c>
      <c r="S171" s="259">
        <f t="shared" si="175"/>
        <v>22000000</v>
      </c>
      <c r="T171" s="260">
        <f t="shared" si="176"/>
        <v>10064800000</v>
      </c>
    </row>
    <row r="172" spans="1:75">
      <c r="A172" s="75">
        <v>39314</v>
      </c>
      <c r="B172" s="75"/>
      <c r="C172" s="258">
        <f>$C$169-SUM($V$86:V89)</f>
        <v>1946741801.73</v>
      </c>
      <c r="D172" s="259">
        <f>D$169-SUM(W$86:W89)</f>
        <v>421330547.08999997</v>
      </c>
      <c r="E172" s="259">
        <f>E$169-SUM(X$86:X89)</f>
        <v>138404071.90000001</v>
      </c>
      <c r="F172" s="259">
        <f>F$169-SUM(Y$86:Y89)</f>
        <v>1813500000</v>
      </c>
      <c r="G172" s="259">
        <f>G$169-SUM(Z$86:Z89)</f>
        <v>500000000</v>
      </c>
      <c r="H172" s="259">
        <f>H$169-SUM(AA$86:AA89)</f>
        <v>2429000000</v>
      </c>
      <c r="I172" s="259">
        <f>I$169-SUM(AB$86:AB89)</f>
        <v>1146000000</v>
      </c>
      <c r="J172" s="259">
        <f>J$169-SUM(AC$86:AC89)</f>
        <v>768500000</v>
      </c>
      <c r="K172" s="259">
        <f>K$169-SUM(AD$86:AD89)</f>
        <v>86000000</v>
      </c>
      <c r="L172" s="259">
        <f>L$169-SUM(AE$86:AE89)</f>
        <v>140000000</v>
      </c>
      <c r="M172" s="259">
        <f>M$169-SUM(AF$86:AF89)</f>
        <v>20000000</v>
      </c>
      <c r="N172" s="259">
        <f>N$169-SUM(AG$86:AG89)</f>
        <v>65000000</v>
      </c>
      <c r="O172" s="259">
        <f>O$169-SUM(AH$86:AH89)</f>
        <v>95100000</v>
      </c>
      <c r="P172" s="259">
        <f>P$169-SUM(AI$86:AI89)</f>
        <v>40000000</v>
      </c>
      <c r="Q172" s="259">
        <f>Q$169-SUM(AJ$86:AJ89)</f>
        <v>45000000</v>
      </c>
      <c r="R172" s="259">
        <f>R$169-SUM(AK$86:AK89)</f>
        <v>190900000</v>
      </c>
      <c r="S172" s="259">
        <f>S$169-SUM(AL$86:AL89)</f>
        <v>22000000</v>
      </c>
      <c r="T172" s="260">
        <f t="shared" si="176"/>
        <v>9867476420.7200012</v>
      </c>
    </row>
    <row r="173" spans="1:75">
      <c r="A173" s="75">
        <v>39345</v>
      </c>
      <c r="B173" s="75"/>
      <c r="C173" s="258">
        <f>$C$169-SUM($V$86:V90)</f>
        <v>1946741801.73</v>
      </c>
      <c r="D173" s="259">
        <f>D$169-SUM(W$86:W90)</f>
        <v>421330547.08999997</v>
      </c>
      <c r="E173" s="259">
        <f>E$169-SUM(X$86:X90)</f>
        <v>138404071.90000001</v>
      </c>
      <c r="F173" s="259">
        <f>F$169-SUM(Y$86:Y90)</f>
        <v>1813500000</v>
      </c>
      <c r="G173" s="259">
        <f>G$169-SUM(Z$86:Z90)</f>
        <v>500000000</v>
      </c>
      <c r="H173" s="259">
        <f>H$169-SUM(AA$86:AA90)</f>
        <v>2429000000</v>
      </c>
      <c r="I173" s="259">
        <f>I$169-SUM(AB$86:AB90)</f>
        <v>1146000000</v>
      </c>
      <c r="J173" s="259">
        <f>J$169-SUM(AC$86:AC90)</f>
        <v>768500000</v>
      </c>
      <c r="K173" s="259">
        <f>K$169-SUM(AD$86:AD90)</f>
        <v>86000000</v>
      </c>
      <c r="L173" s="259">
        <f>L$169-SUM(AE$86:AE90)</f>
        <v>140000000</v>
      </c>
      <c r="M173" s="259">
        <f>M$169-SUM(AF$86:AF90)</f>
        <v>20000000</v>
      </c>
      <c r="N173" s="259">
        <f>N$169-SUM(AG$86:AG90)</f>
        <v>65000000</v>
      </c>
      <c r="O173" s="259">
        <f>O$169-SUM(AH$86:AH90)</f>
        <v>95100000</v>
      </c>
      <c r="P173" s="259">
        <f>P$169-SUM(AI$86:AI90)</f>
        <v>40000000</v>
      </c>
      <c r="Q173" s="259">
        <f>Q$169-SUM(AJ$86:AJ90)</f>
        <v>45000000</v>
      </c>
      <c r="R173" s="259">
        <f>R$169-SUM(AK$86:AK90)</f>
        <v>190900000</v>
      </c>
      <c r="S173" s="259">
        <f>S$169-SUM(AL$86:AL90)</f>
        <v>22000000</v>
      </c>
      <c r="T173" s="260">
        <f t="shared" si="176"/>
        <v>9867476420.7200012</v>
      </c>
    </row>
    <row r="174" spans="1:75">
      <c r="A174" s="75">
        <v>39375</v>
      </c>
      <c r="B174" s="75"/>
      <c r="C174" s="258">
        <f>$C$169-SUM($V$86:V91)</f>
        <v>1946741801.73</v>
      </c>
      <c r="D174" s="259">
        <f>D$169-SUM(W$86:W91)</f>
        <v>421330547.08999997</v>
      </c>
      <c r="E174" s="259">
        <f>E$169-SUM(X$86:X91)</f>
        <v>138404071.90000001</v>
      </c>
      <c r="F174" s="259">
        <f>F$169-SUM(Y$86:Y91)</f>
        <v>1813500000</v>
      </c>
      <c r="G174" s="259">
        <f>G$169-SUM(Z$86:Z91)</f>
        <v>500000000</v>
      </c>
      <c r="H174" s="259">
        <f>H$169-SUM(AA$86:AA91)</f>
        <v>2429000000</v>
      </c>
      <c r="I174" s="259">
        <f>I$169-SUM(AB$86:AB91)</f>
        <v>1146000000</v>
      </c>
      <c r="J174" s="259">
        <f>J$169-SUM(AC$86:AC91)</f>
        <v>768500000</v>
      </c>
      <c r="K174" s="259">
        <f>K$169-SUM(AD$86:AD91)</f>
        <v>86000000</v>
      </c>
      <c r="L174" s="259">
        <f>L$169-SUM(AE$86:AE91)</f>
        <v>140000000</v>
      </c>
      <c r="M174" s="259">
        <f>M$169-SUM(AF$86:AF91)</f>
        <v>20000000</v>
      </c>
      <c r="N174" s="259">
        <f>N$169-SUM(AG$86:AG91)</f>
        <v>65000000</v>
      </c>
      <c r="O174" s="259">
        <f>O$169-SUM(AH$86:AH91)</f>
        <v>95100000</v>
      </c>
      <c r="P174" s="259">
        <f>P$169-SUM(AI$86:AI91)</f>
        <v>40000000</v>
      </c>
      <c r="Q174" s="259">
        <f>Q$169-SUM(AJ$86:AJ91)</f>
        <v>45000000</v>
      </c>
      <c r="R174" s="259">
        <f>R$169-SUM(AK$86:AK91)</f>
        <v>190900000</v>
      </c>
      <c r="S174" s="259">
        <f>S$169-SUM(AL$86:AL91)</f>
        <v>22000000</v>
      </c>
      <c r="T174" s="260">
        <f t="shared" si="176"/>
        <v>9867476420.7200012</v>
      </c>
    </row>
    <row r="175" spans="1:75">
      <c r="A175" s="75">
        <v>39406</v>
      </c>
      <c r="B175" s="75"/>
      <c r="C175" s="258">
        <f>$C$169-SUM($V$86:V92)</f>
        <v>1503701374.1199999</v>
      </c>
      <c r="D175" s="259">
        <f>D$169-SUM(W$86:W92)</f>
        <v>325443940.25999999</v>
      </c>
      <c r="E175" s="259">
        <f>E$169-SUM(X$86:X92)</f>
        <v>106906007.21000001</v>
      </c>
      <c r="F175" s="259">
        <f>F$169-SUM(Y$86:Y92)</f>
        <v>1813500000</v>
      </c>
      <c r="G175" s="259">
        <f>G$169-SUM(Z$86:Z92)</f>
        <v>500000000</v>
      </c>
      <c r="H175" s="259">
        <f>H$169-SUM(AA$86:AA92)</f>
        <v>2429000000</v>
      </c>
      <c r="I175" s="259">
        <f>I$169-SUM(AB$86:AB92)</f>
        <v>1146000000</v>
      </c>
      <c r="J175" s="259">
        <f>J$169-SUM(AC$86:AC92)</f>
        <v>768500000</v>
      </c>
      <c r="K175" s="259">
        <f>K$169-SUM(AD$86:AD92)</f>
        <v>86000000</v>
      </c>
      <c r="L175" s="259">
        <f>L$169-SUM(AE$86:AE92)</f>
        <v>140000000</v>
      </c>
      <c r="M175" s="259">
        <f>M$169-SUM(AF$86:AF92)</f>
        <v>20000000</v>
      </c>
      <c r="N175" s="259">
        <f>N$169-SUM(AG$86:AG92)</f>
        <v>65000000</v>
      </c>
      <c r="O175" s="259">
        <f>O$169-SUM(AH$86:AH92)</f>
        <v>95100000</v>
      </c>
      <c r="P175" s="259">
        <f>P$169-SUM(AI$86:AI92)</f>
        <v>40000000</v>
      </c>
      <c r="Q175" s="259">
        <f>Q$169-SUM(AJ$86:AJ92)</f>
        <v>45000000</v>
      </c>
      <c r="R175" s="259">
        <f>R$169-SUM(AK$86:AK92)</f>
        <v>190900000</v>
      </c>
      <c r="S175" s="259">
        <f>S$169-SUM(AL$86:AL92)</f>
        <v>22000000</v>
      </c>
      <c r="T175" s="260">
        <f t="shared" si="176"/>
        <v>9297051321.5900002</v>
      </c>
    </row>
    <row r="176" spans="1:75">
      <c r="A176" s="75">
        <v>39436</v>
      </c>
      <c r="B176" s="75"/>
      <c r="C176" s="258">
        <f>$C$169-SUM($V$86:V93)</f>
        <v>1503701374.1199999</v>
      </c>
      <c r="D176" s="259">
        <f>D$169-SUM(W$86:W93)</f>
        <v>325443940.25999999</v>
      </c>
      <c r="E176" s="259">
        <f>E$169-SUM(X$86:X93)</f>
        <v>106906007.21000001</v>
      </c>
      <c r="F176" s="259">
        <f>F$169-SUM(Y$86:Y93)</f>
        <v>1813500000</v>
      </c>
      <c r="G176" s="259">
        <f>G$169-SUM(Z$86:Z93)</f>
        <v>500000000</v>
      </c>
      <c r="H176" s="259">
        <f>H$169-SUM(AA$86:AA93)</f>
        <v>2429000000</v>
      </c>
      <c r="I176" s="259">
        <f>I$169-SUM(AB$86:AB93)</f>
        <v>1146000000</v>
      </c>
      <c r="J176" s="259">
        <f>J$169-SUM(AC$86:AC93)</f>
        <v>768500000</v>
      </c>
      <c r="K176" s="259">
        <f>K$169-SUM(AD$86:AD93)</f>
        <v>86000000</v>
      </c>
      <c r="L176" s="259">
        <f>L$169-SUM(AE$86:AE93)</f>
        <v>140000000</v>
      </c>
      <c r="M176" s="259">
        <f>M$169-SUM(AF$86:AF93)</f>
        <v>20000000</v>
      </c>
      <c r="N176" s="259">
        <f>N$169-SUM(AG$86:AG93)</f>
        <v>65000000</v>
      </c>
      <c r="O176" s="259">
        <f>O$169-SUM(AH$86:AH93)</f>
        <v>95100000</v>
      </c>
      <c r="P176" s="259">
        <f>P$169-SUM(AI$86:AI93)</f>
        <v>40000000</v>
      </c>
      <c r="Q176" s="259">
        <f>Q$169-SUM(AJ$86:AJ93)</f>
        <v>45000000</v>
      </c>
      <c r="R176" s="259">
        <f>R$169-SUM(AK$86:AK93)</f>
        <v>190900000</v>
      </c>
      <c r="S176" s="259">
        <f>S$169-SUM(AL$86:AL93)</f>
        <v>22000000</v>
      </c>
      <c r="T176" s="260">
        <f t="shared" si="176"/>
        <v>9297051321.5900002</v>
      </c>
    </row>
    <row r="177" spans="1:20">
      <c r="A177" s="75">
        <v>39467</v>
      </c>
      <c r="B177" s="75"/>
      <c r="C177" s="258">
        <f>$C$169-SUM($V$86:V94)</f>
        <v>1503701374.1199999</v>
      </c>
      <c r="D177" s="259">
        <f>D$169-SUM(W$86:W94)</f>
        <v>325443940.25999999</v>
      </c>
      <c r="E177" s="259">
        <f>E$169-SUM(X$86:X94)</f>
        <v>106906007.21000001</v>
      </c>
      <c r="F177" s="259">
        <f>F$169-SUM(Y$86:Y94)</f>
        <v>1813500000</v>
      </c>
      <c r="G177" s="259">
        <f>G$169-SUM(Z$86:Z94)</f>
        <v>500000000</v>
      </c>
      <c r="H177" s="259">
        <f>H$169-SUM(AA$86:AA94)</f>
        <v>2429000000</v>
      </c>
      <c r="I177" s="259">
        <f>I$169-SUM(AB$86:AB94)</f>
        <v>1146000000</v>
      </c>
      <c r="J177" s="259">
        <f>J$169-SUM(AC$86:AC94)</f>
        <v>768500000</v>
      </c>
      <c r="K177" s="259">
        <f>K$169-SUM(AD$86:AD94)</f>
        <v>86000000</v>
      </c>
      <c r="L177" s="259">
        <f>L$169-SUM(AE$86:AE94)</f>
        <v>140000000</v>
      </c>
      <c r="M177" s="259">
        <f>M$169-SUM(AF$86:AF94)</f>
        <v>20000000</v>
      </c>
      <c r="N177" s="259">
        <f>N$169-SUM(AG$86:AG94)</f>
        <v>65000000</v>
      </c>
      <c r="O177" s="259">
        <f>O$169-SUM(AH$86:AH94)</f>
        <v>95100000</v>
      </c>
      <c r="P177" s="259">
        <f>P$169-SUM(AI$86:AI94)</f>
        <v>40000000</v>
      </c>
      <c r="Q177" s="259">
        <f>Q$169-SUM(AJ$86:AJ94)</f>
        <v>45000000</v>
      </c>
      <c r="R177" s="259">
        <f>R$169-SUM(AK$86:AK94)</f>
        <v>190900000</v>
      </c>
      <c r="S177" s="259">
        <f>S$169-SUM(AL$86:AL94)</f>
        <v>22000000</v>
      </c>
      <c r="T177" s="260">
        <f t="shared" si="176"/>
        <v>9297051321.5900002</v>
      </c>
    </row>
    <row r="178" spans="1:20">
      <c r="A178" s="75">
        <v>39498</v>
      </c>
      <c r="B178" s="75"/>
      <c r="C178" s="258">
        <f>$C$169-SUM($V$86:V95)</f>
        <v>1084699607.26</v>
      </c>
      <c r="D178" s="259">
        <f>D$169-SUM(W$86:W95)</f>
        <v>234759986.43000001</v>
      </c>
      <c r="E178" s="259">
        <f>E$169-SUM(X$86:X95)</f>
        <v>77116976.829999998</v>
      </c>
      <c r="F178" s="259">
        <f>F$169-SUM(Y$86:Y95)</f>
        <v>1813500000</v>
      </c>
      <c r="G178" s="259">
        <f>G$169-SUM(Z$86:Z95)</f>
        <v>500000000</v>
      </c>
      <c r="H178" s="259">
        <f>H$169-SUM(AA$86:AA95)</f>
        <v>2429000000</v>
      </c>
      <c r="I178" s="259">
        <f>I$169-SUM(AB$86:AB95)</f>
        <v>1146000000</v>
      </c>
      <c r="J178" s="259">
        <f>J$169-SUM(AC$86:AC95)</f>
        <v>768500000</v>
      </c>
      <c r="K178" s="259">
        <f>K$169-SUM(AD$86:AD95)</f>
        <v>86000000</v>
      </c>
      <c r="L178" s="259">
        <f>L$169-SUM(AE$86:AE95)</f>
        <v>140000000</v>
      </c>
      <c r="M178" s="259">
        <f>M$169-SUM(AF$86:AF95)</f>
        <v>20000000</v>
      </c>
      <c r="N178" s="259">
        <f>N$169-SUM(AG$86:AG95)</f>
        <v>65000000</v>
      </c>
      <c r="O178" s="259">
        <f>O$169-SUM(AH$86:AH95)</f>
        <v>95100000</v>
      </c>
      <c r="P178" s="259">
        <f>P$169-SUM(AI$86:AI95)</f>
        <v>40000000</v>
      </c>
      <c r="Q178" s="259">
        <f>Q$169-SUM(AJ$86:AJ95)</f>
        <v>45000000</v>
      </c>
      <c r="R178" s="259">
        <f>R$169-SUM(AK$86:AK95)</f>
        <v>190900000</v>
      </c>
      <c r="S178" s="259">
        <f>S$169-SUM(AL$86:AL95)</f>
        <v>22000000</v>
      </c>
      <c r="T178" s="260">
        <f t="shared" si="176"/>
        <v>8757576570.5200005</v>
      </c>
    </row>
    <row r="179" spans="1:20">
      <c r="A179" s="75">
        <v>39527</v>
      </c>
      <c r="B179" s="75"/>
      <c r="C179" s="258">
        <f>$C$169-SUM($V$86:V96)</f>
        <v>1084699607.26</v>
      </c>
      <c r="D179" s="259">
        <f>D$169-SUM(W$86:W96)</f>
        <v>234759986.43000001</v>
      </c>
      <c r="E179" s="259">
        <f>E$169-SUM(X$86:X96)</f>
        <v>77116976.829999998</v>
      </c>
      <c r="F179" s="259">
        <f>F$169-SUM(Y$86:Y96)</f>
        <v>1813500000</v>
      </c>
      <c r="G179" s="259">
        <f>G$169-SUM(Z$86:Z96)</f>
        <v>500000000</v>
      </c>
      <c r="H179" s="259">
        <f>H$169-SUM(AA$86:AA96)</f>
        <v>2429000000</v>
      </c>
      <c r="I179" s="259">
        <f>I$169-SUM(AB$86:AB96)</f>
        <v>1146000000</v>
      </c>
      <c r="J179" s="259">
        <f>J$169-SUM(AC$86:AC96)</f>
        <v>768500000</v>
      </c>
      <c r="K179" s="259">
        <f>K$169-SUM(AD$86:AD96)</f>
        <v>86000000</v>
      </c>
      <c r="L179" s="259">
        <f>L$169-SUM(AE$86:AE96)</f>
        <v>140000000</v>
      </c>
      <c r="M179" s="259">
        <f>M$169-SUM(AF$86:AF96)</f>
        <v>20000000</v>
      </c>
      <c r="N179" s="259">
        <f>N$169-SUM(AG$86:AG96)</f>
        <v>65000000</v>
      </c>
      <c r="O179" s="259">
        <f>O$169-SUM(AH$86:AH96)</f>
        <v>95100000</v>
      </c>
      <c r="P179" s="259">
        <f>P$169-SUM(AI$86:AI96)</f>
        <v>40000000</v>
      </c>
      <c r="Q179" s="259">
        <f>Q$169-SUM(AJ$86:AJ96)</f>
        <v>45000000</v>
      </c>
      <c r="R179" s="259">
        <f>R$169-SUM(AK$86:AK96)</f>
        <v>190900000</v>
      </c>
      <c r="S179" s="259">
        <f>S$169-SUM(AL$86:AL96)</f>
        <v>22000000</v>
      </c>
      <c r="T179" s="260">
        <f t="shared" si="176"/>
        <v>8757576570.5200005</v>
      </c>
    </row>
    <row r="180" spans="1:20">
      <c r="A180" s="75">
        <v>39558</v>
      </c>
      <c r="B180" s="75"/>
      <c r="C180" s="258">
        <f>$C$169-SUM($V$86:V97)</f>
        <v>1084699607.26</v>
      </c>
      <c r="D180" s="259">
        <f>D$169-SUM(W$86:W97)</f>
        <v>234759986.43000001</v>
      </c>
      <c r="E180" s="259">
        <f>E$169-SUM(X$86:X97)</f>
        <v>77116976.829999998</v>
      </c>
      <c r="F180" s="259">
        <f>F$169-SUM(Y$86:Y97)</f>
        <v>1813500000</v>
      </c>
      <c r="G180" s="259">
        <f>G$169-SUM(Z$86:Z97)</f>
        <v>500000000</v>
      </c>
      <c r="H180" s="259">
        <f>H$169-SUM(AA$86:AA97)</f>
        <v>2429000000</v>
      </c>
      <c r="I180" s="259">
        <f>I$169-SUM(AB$86:AB97)</f>
        <v>1146000000</v>
      </c>
      <c r="J180" s="259">
        <f>J$169-SUM(AC$86:AC97)</f>
        <v>768500000</v>
      </c>
      <c r="K180" s="259">
        <f>K$169-SUM(AD$86:AD97)</f>
        <v>86000000</v>
      </c>
      <c r="L180" s="259">
        <f>L$169-SUM(AE$86:AE97)</f>
        <v>140000000</v>
      </c>
      <c r="M180" s="259">
        <f>M$169-SUM(AF$86:AF97)</f>
        <v>20000000</v>
      </c>
      <c r="N180" s="259">
        <f>N$169-SUM(AG$86:AG97)</f>
        <v>65000000</v>
      </c>
      <c r="O180" s="259">
        <f>O$169-SUM(AH$86:AH97)</f>
        <v>95100000</v>
      </c>
      <c r="P180" s="259">
        <f>P$169-SUM(AI$86:AI97)</f>
        <v>40000000</v>
      </c>
      <c r="Q180" s="259">
        <f>Q$169-SUM(AJ$86:AJ97)</f>
        <v>45000000</v>
      </c>
      <c r="R180" s="259">
        <f>R$169-SUM(AK$86:AK97)</f>
        <v>190900000</v>
      </c>
      <c r="S180" s="259">
        <f>S$169-SUM(AL$86:AL97)</f>
        <v>22000000</v>
      </c>
      <c r="T180" s="260">
        <f t="shared" si="176"/>
        <v>8757576570.5200005</v>
      </c>
    </row>
    <row r="181" spans="1:20">
      <c r="A181" s="75">
        <v>39588</v>
      </c>
      <c r="B181" s="75"/>
      <c r="C181" s="258">
        <f>$C$169-SUM($V$86:V98)</f>
        <v>688432202.08999991</v>
      </c>
      <c r="D181" s="259">
        <f>D$169-SUM(W$86:W98)</f>
        <v>148996398.02999997</v>
      </c>
      <c r="E181" s="259">
        <f>E$169-SUM(X$86:X98)</f>
        <v>48944251.310000002</v>
      </c>
      <c r="F181" s="259">
        <f>F$169-SUM(Y$86:Y98)</f>
        <v>1813500000</v>
      </c>
      <c r="G181" s="259">
        <f>G$169-SUM(Z$86:Z98)</f>
        <v>500000000</v>
      </c>
      <c r="H181" s="259">
        <f>H$169-SUM(AA$86:AA98)</f>
        <v>2429000000</v>
      </c>
      <c r="I181" s="259">
        <f>I$169-SUM(AB$86:AB98)</f>
        <v>1146000000</v>
      </c>
      <c r="J181" s="259">
        <f>J$169-SUM(AC$86:AC98)</f>
        <v>768500000</v>
      </c>
      <c r="K181" s="259">
        <f>K$169-SUM(AD$86:AD98)</f>
        <v>86000000</v>
      </c>
      <c r="L181" s="259">
        <f>L$169-SUM(AE$86:AE98)</f>
        <v>140000000</v>
      </c>
      <c r="M181" s="259">
        <f>M$169-SUM(AF$86:AF98)</f>
        <v>20000000</v>
      </c>
      <c r="N181" s="259">
        <f>N$169-SUM(AG$86:AG98)</f>
        <v>65000000</v>
      </c>
      <c r="O181" s="259">
        <f>O$169-SUM(AH$86:AH98)</f>
        <v>95100000</v>
      </c>
      <c r="P181" s="259">
        <f>P$169-SUM(AI$86:AI98)</f>
        <v>40000000</v>
      </c>
      <c r="Q181" s="259">
        <f>Q$169-SUM(AJ$86:AJ98)</f>
        <v>45000000</v>
      </c>
      <c r="R181" s="259">
        <f>R$169-SUM(AK$86:AK98)</f>
        <v>190900000</v>
      </c>
      <c r="S181" s="259">
        <f>S$169-SUM(AL$86:AL98)</f>
        <v>22000000</v>
      </c>
      <c r="T181" s="260">
        <f t="shared" si="176"/>
        <v>8247372851.4300003</v>
      </c>
    </row>
    <row r="182" spans="1:20">
      <c r="A182" s="75">
        <v>39619</v>
      </c>
      <c r="B182" s="75"/>
      <c r="C182" s="258">
        <f>$C$169-SUM($V$86:V99)</f>
        <v>688432202.08999991</v>
      </c>
      <c r="D182" s="259">
        <f>D$169-SUM(W$86:W99)</f>
        <v>148996398.02999997</v>
      </c>
      <c r="E182" s="259">
        <f>E$169-SUM(X$86:X99)</f>
        <v>48944251.310000002</v>
      </c>
      <c r="F182" s="259">
        <f>F$169-SUM(Y$86:Y99)</f>
        <v>1813500000</v>
      </c>
      <c r="G182" s="259">
        <f>G$169-SUM(Z$86:Z99)</f>
        <v>500000000</v>
      </c>
      <c r="H182" s="259">
        <f>H$169-SUM(AA$86:AA99)</f>
        <v>2429000000</v>
      </c>
      <c r="I182" s="259">
        <f>I$169-SUM(AB$86:AB99)</f>
        <v>1146000000</v>
      </c>
      <c r="J182" s="259">
        <f>J$169-SUM(AC$86:AC99)</f>
        <v>768500000</v>
      </c>
      <c r="K182" s="259">
        <f>K$169-SUM(AD$86:AD99)</f>
        <v>86000000</v>
      </c>
      <c r="L182" s="259">
        <f>L$169-SUM(AE$86:AE99)</f>
        <v>140000000</v>
      </c>
      <c r="M182" s="259">
        <f>M$169-SUM(AF$86:AF99)</f>
        <v>20000000</v>
      </c>
      <c r="N182" s="259">
        <f>N$169-SUM(AG$86:AG99)</f>
        <v>65000000</v>
      </c>
      <c r="O182" s="259">
        <f>O$169-SUM(AH$86:AH99)</f>
        <v>95100000</v>
      </c>
      <c r="P182" s="259">
        <f>P$169-SUM(AI$86:AI99)</f>
        <v>40000000</v>
      </c>
      <c r="Q182" s="259">
        <f>Q$169-SUM(AJ$86:AJ99)</f>
        <v>45000000</v>
      </c>
      <c r="R182" s="259">
        <f>R$169-SUM(AK$86:AK99)</f>
        <v>190900000</v>
      </c>
      <c r="S182" s="259">
        <f>S$169-SUM(AL$86:AL99)</f>
        <v>22000000</v>
      </c>
      <c r="T182" s="260">
        <f t="shared" si="176"/>
        <v>8247372851.4300003</v>
      </c>
    </row>
    <row r="183" spans="1:20">
      <c r="A183" s="75">
        <v>39649</v>
      </c>
      <c r="B183" s="75"/>
      <c r="C183" s="258">
        <f>$C$169-SUM($V$86:V100)</f>
        <v>688432202.08999991</v>
      </c>
      <c r="D183" s="259">
        <f>D$169-SUM(W$86:W100)</f>
        <v>148996398.02999997</v>
      </c>
      <c r="E183" s="259">
        <f>E$169-SUM(X$86:X100)</f>
        <v>48944251.310000002</v>
      </c>
      <c r="F183" s="259">
        <f>F$169-SUM(Y$86:Y100)</f>
        <v>1813500000</v>
      </c>
      <c r="G183" s="259">
        <f>G$169-SUM(Z$86:Z100)</f>
        <v>500000000</v>
      </c>
      <c r="H183" s="259">
        <f>H$169-SUM(AA$86:AA100)</f>
        <v>2429000000</v>
      </c>
      <c r="I183" s="259">
        <f>I$169-SUM(AB$86:AB100)</f>
        <v>1146000000</v>
      </c>
      <c r="J183" s="259">
        <f>J$169-SUM(AC$86:AC100)</f>
        <v>768500000</v>
      </c>
      <c r="K183" s="259">
        <f>K$169-SUM(AD$86:AD100)</f>
        <v>86000000</v>
      </c>
      <c r="L183" s="259">
        <f>L$169-SUM(AE$86:AE100)</f>
        <v>140000000</v>
      </c>
      <c r="M183" s="259">
        <f>M$169-SUM(AF$86:AF100)</f>
        <v>20000000</v>
      </c>
      <c r="N183" s="259">
        <f>N$169-SUM(AG$86:AG100)</f>
        <v>65000000</v>
      </c>
      <c r="O183" s="259">
        <f>O$169-SUM(AH$86:AH100)</f>
        <v>95100000</v>
      </c>
      <c r="P183" s="259">
        <f>P$169-SUM(AI$86:AI100)</f>
        <v>40000000</v>
      </c>
      <c r="Q183" s="259">
        <f>Q$169-SUM(AJ$86:AJ100)</f>
        <v>45000000</v>
      </c>
      <c r="R183" s="259">
        <f>R$169-SUM(AK$86:AK100)</f>
        <v>190900000</v>
      </c>
      <c r="S183" s="259">
        <f>S$169-SUM(AL$86:AL100)</f>
        <v>22000000</v>
      </c>
      <c r="T183" s="260">
        <f t="shared" si="176"/>
        <v>8247372851.4300003</v>
      </c>
    </row>
    <row r="184" spans="1:20">
      <c r="A184" s="75">
        <v>39680</v>
      </c>
      <c r="B184" s="75"/>
      <c r="C184" s="258">
        <f>$C$169-SUM($V$86:V101)</f>
        <v>313665628.73000002</v>
      </c>
      <c r="D184" s="259">
        <f>D$169-SUM(W$86:W101)</f>
        <v>67886203.939999938</v>
      </c>
      <c r="E184" s="259">
        <f>E$169-SUM(X$86:X101)</f>
        <v>22300132.549999997</v>
      </c>
      <c r="F184" s="259">
        <f>F$169-SUM(Y$86:Y101)</f>
        <v>1813500000</v>
      </c>
      <c r="G184" s="259">
        <f>G$169-SUM(Z$86:Z101)</f>
        <v>500000000</v>
      </c>
      <c r="H184" s="259">
        <f>H$169-SUM(AA$86:AA101)</f>
        <v>2429000000</v>
      </c>
      <c r="I184" s="259">
        <f>I$169-SUM(AB$86:AB101)</f>
        <v>1146000000</v>
      </c>
      <c r="J184" s="259">
        <f>J$169-SUM(AC$86:AC101)</f>
        <v>768500000</v>
      </c>
      <c r="K184" s="259">
        <f>K$169-SUM(AD$86:AD101)</f>
        <v>86000000</v>
      </c>
      <c r="L184" s="259">
        <f>L$169-SUM(AE$86:AE101)</f>
        <v>140000000</v>
      </c>
      <c r="M184" s="259">
        <f>M$169-SUM(AF$86:AF101)</f>
        <v>20000000</v>
      </c>
      <c r="N184" s="259">
        <f>N$169-SUM(AG$86:AG101)</f>
        <v>65000000</v>
      </c>
      <c r="O184" s="259">
        <f>O$169-SUM(AH$86:AH101)</f>
        <v>95100000</v>
      </c>
      <c r="P184" s="259">
        <f>P$169-SUM(AI$86:AI101)</f>
        <v>40000000</v>
      </c>
      <c r="Q184" s="259">
        <f>Q$169-SUM(AJ$86:AJ101)</f>
        <v>45000000</v>
      </c>
      <c r="R184" s="259">
        <f>R$169-SUM(AK$86:AK101)</f>
        <v>190900000</v>
      </c>
      <c r="S184" s="259">
        <f>S$169-SUM(AL$86:AL101)</f>
        <v>22000000</v>
      </c>
      <c r="T184" s="260">
        <f t="shared" si="176"/>
        <v>7764851965.2199993</v>
      </c>
    </row>
    <row r="185" spans="1:20">
      <c r="A185" s="75">
        <v>39711</v>
      </c>
      <c r="B185" s="75"/>
      <c r="C185" s="258">
        <f>$C$169-SUM($V$86:V102)</f>
        <v>313665628.73000002</v>
      </c>
      <c r="D185" s="259">
        <f>D$169-SUM(W$86:W102)</f>
        <v>67886203.939999938</v>
      </c>
      <c r="E185" s="259">
        <f>E$169-SUM(X$86:X102)</f>
        <v>22300132.549999997</v>
      </c>
      <c r="F185" s="259">
        <f>F$169-SUM(Y$86:Y102)</f>
        <v>1813500000</v>
      </c>
      <c r="G185" s="259">
        <f>G$169-SUM(Z$86:Z102)</f>
        <v>500000000</v>
      </c>
      <c r="H185" s="259">
        <f>H$169-SUM(AA$86:AA102)</f>
        <v>2429000000</v>
      </c>
      <c r="I185" s="259">
        <f>I$169-SUM(AB$86:AB102)</f>
        <v>1146000000</v>
      </c>
      <c r="J185" s="259">
        <f>J$169-SUM(AC$86:AC102)</f>
        <v>768500000</v>
      </c>
      <c r="K185" s="259">
        <f>K$169-SUM(AD$86:AD102)</f>
        <v>86000000</v>
      </c>
      <c r="L185" s="259">
        <f>L$169-SUM(AE$86:AE102)</f>
        <v>140000000</v>
      </c>
      <c r="M185" s="259">
        <f>M$169-SUM(AF$86:AF102)</f>
        <v>20000000</v>
      </c>
      <c r="N185" s="259">
        <f>N$169-SUM(AG$86:AG102)</f>
        <v>65000000</v>
      </c>
      <c r="O185" s="259">
        <f>O$169-SUM(AH$86:AH102)</f>
        <v>95100000</v>
      </c>
      <c r="P185" s="259">
        <f>P$169-SUM(AI$86:AI102)</f>
        <v>40000000</v>
      </c>
      <c r="Q185" s="259">
        <f>Q$169-SUM(AJ$86:AJ102)</f>
        <v>45000000</v>
      </c>
      <c r="R185" s="259">
        <f>R$169-SUM(AK$86:AK102)</f>
        <v>190900000</v>
      </c>
      <c r="S185" s="259">
        <f>S$169-SUM(AL$86:AL102)</f>
        <v>22000000</v>
      </c>
      <c r="T185" s="260">
        <f t="shared" si="176"/>
        <v>7764851965.2199993</v>
      </c>
    </row>
    <row r="186" spans="1:20">
      <c r="A186" s="75">
        <v>39741</v>
      </c>
      <c r="B186" s="75"/>
      <c r="C186" s="258">
        <f>$C$169-SUM($V$86:V103)</f>
        <v>313665628.73000002</v>
      </c>
      <c r="D186" s="259">
        <f>D$169-SUM(W$86:W103)</f>
        <v>67886203.939999938</v>
      </c>
      <c r="E186" s="259">
        <f>E$169-SUM(X$86:X103)</f>
        <v>22300132.549999997</v>
      </c>
      <c r="F186" s="259">
        <f>F$169-SUM(Y$86:Y103)</f>
        <v>1813500000</v>
      </c>
      <c r="G186" s="259">
        <f>G$169-SUM(Z$86:Z103)</f>
        <v>500000000</v>
      </c>
      <c r="H186" s="259">
        <f>H$169-SUM(AA$86:AA103)</f>
        <v>2429000000</v>
      </c>
      <c r="I186" s="259">
        <f>I$169-SUM(AB$86:AB103)</f>
        <v>1146000000</v>
      </c>
      <c r="J186" s="259">
        <f>J$169-SUM(AC$86:AC103)</f>
        <v>768500000</v>
      </c>
      <c r="K186" s="259">
        <f>K$169-SUM(AD$86:AD103)</f>
        <v>86000000</v>
      </c>
      <c r="L186" s="259">
        <f>L$169-SUM(AE$86:AE103)</f>
        <v>140000000</v>
      </c>
      <c r="M186" s="259">
        <f>M$169-SUM(AF$86:AF103)</f>
        <v>20000000</v>
      </c>
      <c r="N186" s="259">
        <f>N$169-SUM(AG$86:AG103)</f>
        <v>65000000</v>
      </c>
      <c r="O186" s="259">
        <f>O$169-SUM(AH$86:AH103)</f>
        <v>95100000</v>
      </c>
      <c r="P186" s="259">
        <f>P$169-SUM(AI$86:AI103)</f>
        <v>40000000</v>
      </c>
      <c r="Q186" s="259">
        <f>Q$169-SUM(AJ$86:AJ103)</f>
        <v>45000000</v>
      </c>
      <c r="R186" s="259">
        <f>R$169-SUM(AK$86:AK103)</f>
        <v>190900000</v>
      </c>
      <c r="S186" s="259">
        <f>S$169-SUM(AL$86:AL103)</f>
        <v>22000000</v>
      </c>
      <c r="T186" s="260">
        <f t="shared" si="176"/>
        <v>7764851965.2199993</v>
      </c>
    </row>
    <row r="187" spans="1:20">
      <c r="A187" s="75">
        <v>39772</v>
      </c>
      <c r="B187" s="75"/>
      <c r="C187" s="258">
        <f>$C$169-SUM($V$86:V104)-0.01</f>
        <v>-9.5367431642706668E-9</v>
      </c>
      <c r="D187" s="259">
        <f>D$169-SUM(W$86:W104)</f>
        <v>9.9999308586120605E-3</v>
      </c>
      <c r="E187" s="259">
        <f>E$169-SUM(X$86:X104)</f>
        <v>-9.9999904632568359E-3</v>
      </c>
      <c r="F187" s="259">
        <f>F$169-SUM(Y$86:Y104)</f>
        <v>1813500000</v>
      </c>
      <c r="G187" s="259">
        <f>G$169-SUM(Z$86:Z104)</f>
        <v>500000000</v>
      </c>
      <c r="H187" s="259">
        <f>H$169-SUM(AA$86:AA104)</f>
        <v>2429000000</v>
      </c>
      <c r="I187" s="259">
        <f>I$169-SUM(AB$86:AB104)</f>
        <v>1146000000</v>
      </c>
      <c r="J187" s="259">
        <f>J$169-SUM(AC$86:AC104)</f>
        <v>768500000</v>
      </c>
      <c r="K187" s="259">
        <f>K$169-SUM(AD$86:AD104)</f>
        <v>54687201.640000001</v>
      </c>
      <c r="L187" s="259">
        <f>L$169-SUM(AE$86:AE104)</f>
        <v>140000000</v>
      </c>
      <c r="M187" s="259">
        <f>M$169-SUM(AF$86:AF104)</f>
        <v>20000000</v>
      </c>
      <c r="N187" s="259">
        <f>N$169-SUM(AG$86:AG104)</f>
        <v>41333350.079999998</v>
      </c>
      <c r="O187" s="259">
        <f>O$169-SUM(AH$86:AH104)</f>
        <v>95100000</v>
      </c>
      <c r="P187" s="259">
        <f>P$169-SUM(AI$86:AI104)</f>
        <v>40000000</v>
      </c>
      <c r="Q187" s="259">
        <f>Q$169-SUM(AJ$86:AJ104)</f>
        <v>45000000</v>
      </c>
      <c r="R187" s="259">
        <f>R$169-SUM(AK$86:AK104)</f>
        <v>190900000</v>
      </c>
      <c r="S187" s="259">
        <f>S$169-SUM(AL$86:AL104)</f>
        <v>22000000</v>
      </c>
      <c r="T187" s="260">
        <f t="shared" si="176"/>
        <v>7306020551.7200003</v>
      </c>
    </row>
    <row r="188" spans="1:20">
      <c r="A188" s="75">
        <v>39802</v>
      </c>
      <c r="B188" s="75"/>
      <c r="C188" s="258">
        <f>$C$169-SUM($V$86:V105)</f>
        <v>9.9999904632568359E-3</v>
      </c>
      <c r="D188" s="259">
        <f>D$169-SUM(W$86:W105)</f>
        <v>9.9999308586120605E-3</v>
      </c>
      <c r="E188" s="259">
        <f>E$169-SUM(X$86:X105)</f>
        <v>-9.9999904632568359E-3</v>
      </c>
      <c r="F188" s="259">
        <f>F$169-SUM(Y$86:Y105)</f>
        <v>1813500000</v>
      </c>
      <c r="G188" s="259">
        <f>G$169-SUM(Z$86:Z105)</f>
        <v>500000000</v>
      </c>
      <c r="H188" s="259">
        <f>H$169-SUM(AA$86:AA105)</f>
        <v>2429000000</v>
      </c>
      <c r="I188" s="259">
        <f>I$169-SUM(AB$86:AB105)</f>
        <v>1146000000</v>
      </c>
      <c r="J188" s="259">
        <f>J$169-SUM(AC$86:AC105)</f>
        <v>768500000</v>
      </c>
      <c r="K188" s="259">
        <f>K$169-SUM(AD$86:AD105)</f>
        <v>54687201.640000001</v>
      </c>
      <c r="L188" s="259">
        <f>L$169-SUM(AE$86:AE105)</f>
        <v>140000000</v>
      </c>
      <c r="M188" s="259">
        <f>M$169-SUM(AF$86:AF105)</f>
        <v>20000000</v>
      </c>
      <c r="N188" s="259">
        <f>N$169-SUM(AG$86:AG105)</f>
        <v>41333350.079999998</v>
      </c>
      <c r="O188" s="259">
        <f>O$169-SUM(AH$86:AH105)</f>
        <v>95100000</v>
      </c>
      <c r="P188" s="259">
        <f>P$169-SUM(AI$86:AI105)</f>
        <v>40000000</v>
      </c>
      <c r="Q188" s="259">
        <f>Q$169-SUM(AJ$86:AJ105)</f>
        <v>45000000</v>
      </c>
      <c r="R188" s="259">
        <f>R$169-SUM(AK$86:AK105)</f>
        <v>190900000</v>
      </c>
      <c r="S188" s="259">
        <f>S$169-SUM(AL$86:AL105)</f>
        <v>22000000</v>
      </c>
      <c r="T188" s="260">
        <f t="shared" si="176"/>
        <v>7306020551.7300005</v>
      </c>
    </row>
    <row r="189" spans="1:20">
      <c r="A189" s="75">
        <v>39833</v>
      </c>
      <c r="B189" s="75"/>
      <c r="C189" s="258">
        <f>$C$169-SUM($V$86:V106)</f>
        <v>9.9999904632568359E-3</v>
      </c>
      <c r="D189" s="259">
        <f>D$169-SUM(W$86:W106)</f>
        <v>9.9999308586120605E-3</v>
      </c>
      <c r="E189" s="259">
        <f>E$169-SUM(X$86:X106)</f>
        <v>-9.9999904632568359E-3</v>
      </c>
      <c r="F189" s="259">
        <f>F$169-SUM(Y$86:Y106)</f>
        <v>1813500000</v>
      </c>
      <c r="G189" s="259">
        <f>G$169-SUM(Z$86:Z106)</f>
        <v>500000000</v>
      </c>
      <c r="H189" s="259">
        <f>H$169-SUM(AA$86:AA106)</f>
        <v>2429000000</v>
      </c>
      <c r="I189" s="259">
        <f>I$169-SUM(AB$86:AB106)</f>
        <v>1146000000</v>
      </c>
      <c r="J189" s="259">
        <f>J$169-SUM(AC$86:AC106)</f>
        <v>768500000</v>
      </c>
      <c r="K189" s="259">
        <f>K$169-SUM(AD$86:AD106)</f>
        <v>54687201.640000001</v>
      </c>
      <c r="L189" s="259">
        <f>L$169-SUM(AE$86:AE106)</f>
        <v>140000000</v>
      </c>
      <c r="M189" s="259">
        <f>M$169-SUM(AF$86:AF106)</f>
        <v>20000000</v>
      </c>
      <c r="N189" s="259">
        <f>N$169-SUM(AG$86:AG106)</f>
        <v>41333350.079999998</v>
      </c>
      <c r="O189" s="259">
        <f>O$169-SUM(AH$86:AH106)</f>
        <v>95100000</v>
      </c>
      <c r="P189" s="259">
        <f>P$169-SUM(AI$86:AI106)</f>
        <v>40000000</v>
      </c>
      <c r="Q189" s="259">
        <f>Q$169-SUM(AJ$86:AJ106)</f>
        <v>45000000</v>
      </c>
      <c r="R189" s="259">
        <f>R$169-SUM(AK$86:AK106)</f>
        <v>190900000</v>
      </c>
      <c r="S189" s="259">
        <f>S$169-SUM(AL$86:AL106)</f>
        <v>22000000</v>
      </c>
      <c r="T189" s="260">
        <f t="shared" si="176"/>
        <v>7306020551.7300005</v>
      </c>
    </row>
    <row r="190" spans="1:20">
      <c r="A190" s="75">
        <v>39864</v>
      </c>
      <c r="B190" s="75"/>
      <c r="C190" s="258">
        <f>$C$169-SUM($V$86:V107)</f>
        <v>9.9999904632568359E-3</v>
      </c>
      <c r="D190" s="259">
        <f>D$169-SUM(W$86:W107)</f>
        <v>9.9999308586120605E-3</v>
      </c>
      <c r="E190" s="259">
        <f>E$169-SUM(X$86:X107)</f>
        <v>-9.9999904632568359E-3</v>
      </c>
      <c r="F190" s="259">
        <f>F$169-SUM(Y$86:Y107)</f>
        <v>1537517794.28</v>
      </c>
      <c r="G190" s="259">
        <f>G$169-SUM(Z$86:Z107)</f>
        <v>423908959</v>
      </c>
      <c r="H190" s="259">
        <f>H$169-SUM(AA$86:AA107)</f>
        <v>2429000000</v>
      </c>
      <c r="I190" s="259">
        <f>I$169-SUM(AB$86:AB107)</f>
        <v>1146000000</v>
      </c>
      <c r="J190" s="259">
        <f>J$169-SUM(AC$86:AC107)</f>
        <v>768500000</v>
      </c>
      <c r="K190" s="259">
        <f>K$169-SUM(AD$86:AD107)</f>
        <v>0</v>
      </c>
      <c r="L190" s="259">
        <f>L$169-SUM(AE$86:AE107)</f>
        <v>140000000</v>
      </c>
      <c r="M190" s="259">
        <f>M$169-SUM(AF$86:AF107)</f>
        <v>20000000</v>
      </c>
      <c r="N190" s="259">
        <f>N$169-SUM(AG$86:AG107)</f>
        <v>0</v>
      </c>
      <c r="O190" s="259">
        <f>O$169-SUM(AH$86:AH107)</f>
        <v>95100000</v>
      </c>
      <c r="P190" s="259">
        <f>P$169-SUM(AI$86:AI107)</f>
        <v>40000000</v>
      </c>
      <c r="Q190" s="259">
        <f>Q$169-SUM(AJ$86:AJ107)</f>
        <v>45000000</v>
      </c>
      <c r="R190" s="259">
        <f>R$169-SUM(AK$86:AK107)</f>
        <v>190900000</v>
      </c>
      <c r="S190" s="259">
        <f>S$169-SUM(AL$86:AL107)</f>
        <v>22000000</v>
      </c>
      <c r="T190" s="260">
        <f t="shared" si="176"/>
        <v>6857926753.29</v>
      </c>
    </row>
    <row r="191" spans="1:20">
      <c r="A191" s="75">
        <v>39892</v>
      </c>
      <c r="B191" s="75"/>
      <c r="C191" s="258">
        <f>$C$169-SUM($V$86:V108)</f>
        <v>9.9999904632568359E-3</v>
      </c>
      <c r="D191" s="259">
        <f>D$169-SUM(W$86:W108)</f>
        <v>9.9999308586120605E-3</v>
      </c>
      <c r="E191" s="259">
        <f>E$169-SUM(X$86:X108)</f>
        <v>-9.9999904632568359E-3</v>
      </c>
      <c r="F191" s="259">
        <f>F$169-SUM(Y$86:Y108)</f>
        <v>1537517794.28</v>
      </c>
      <c r="G191" s="259">
        <f>G$169-SUM(Z$86:Z108)</f>
        <v>423908959</v>
      </c>
      <c r="H191" s="259">
        <f>H$169-SUM(AA$86:AA108)</f>
        <v>2429000000</v>
      </c>
      <c r="I191" s="259">
        <f>I$169-SUM(AB$86:AB108)</f>
        <v>1146000000</v>
      </c>
      <c r="J191" s="259">
        <f>J$169-SUM(AC$86:AC108)</f>
        <v>768500000</v>
      </c>
      <c r="K191" s="259">
        <f>K$169-SUM(AD$86:AD108)</f>
        <v>0</v>
      </c>
      <c r="L191" s="259">
        <f>L$169-SUM(AE$86:AE108)</f>
        <v>140000000</v>
      </c>
      <c r="M191" s="259">
        <f>M$169-SUM(AF$86:AF108)</f>
        <v>20000000</v>
      </c>
      <c r="N191" s="259">
        <f>N$169-SUM(AG$86:AG108)</f>
        <v>0</v>
      </c>
      <c r="O191" s="259">
        <f>O$169-SUM(AH$86:AH108)</f>
        <v>95100000</v>
      </c>
      <c r="P191" s="259">
        <f>P$169-SUM(AI$86:AI108)</f>
        <v>40000000</v>
      </c>
      <c r="Q191" s="259">
        <f>Q$169-SUM(AJ$86:AJ108)</f>
        <v>45000000</v>
      </c>
      <c r="R191" s="259">
        <f>R$169-SUM(AK$86:AK108)</f>
        <v>190900000</v>
      </c>
      <c r="S191" s="259">
        <f>S$169-SUM(AL$86:AL108)</f>
        <v>22000000</v>
      </c>
      <c r="T191" s="260">
        <f t="shared" si="176"/>
        <v>6857926753.29</v>
      </c>
    </row>
    <row r="192" spans="1:20">
      <c r="A192" s="75">
        <v>39923</v>
      </c>
      <c r="B192" s="75"/>
      <c r="C192" s="258">
        <f>$C$169-SUM($V$86:V109)</f>
        <v>9.9999904632568359E-3</v>
      </c>
      <c r="D192" s="259">
        <f>D$169-SUM(W$86:W109)</f>
        <v>9.9999308586120605E-3</v>
      </c>
      <c r="E192" s="259">
        <f>E$169-SUM(X$86:X109)</f>
        <v>-9.9999904632568359E-3</v>
      </c>
      <c r="F192" s="259">
        <f>F$169-SUM(Y$86:Y109)</f>
        <v>1537517794.28</v>
      </c>
      <c r="G192" s="259">
        <f>G$169-SUM(Z$86:Z109)</f>
        <v>423908959</v>
      </c>
      <c r="H192" s="259">
        <f>H$169-SUM(AA$86:AA109)</f>
        <v>2429000000</v>
      </c>
      <c r="I192" s="259">
        <f>I$169-SUM(AB$86:AB109)</f>
        <v>1146000000</v>
      </c>
      <c r="J192" s="259">
        <f>J$169-SUM(AC$86:AC109)</f>
        <v>768500000</v>
      </c>
      <c r="K192" s="259">
        <f>K$169-SUM(AD$86:AD109)</f>
        <v>0</v>
      </c>
      <c r="L192" s="259">
        <f>L$169-SUM(AE$86:AE109)</f>
        <v>140000000</v>
      </c>
      <c r="M192" s="259">
        <f>M$169-SUM(AF$86:AF109)</f>
        <v>20000000</v>
      </c>
      <c r="N192" s="259">
        <f>N$169-SUM(AG$86:AG109)</f>
        <v>0</v>
      </c>
      <c r="O192" s="259">
        <f>O$169-SUM(AH$86:AH109)</f>
        <v>95100000</v>
      </c>
      <c r="P192" s="259">
        <f>P$169-SUM(AI$86:AI109)</f>
        <v>40000000</v>
      </c>
      <c r="Q192" s="259">
        <f>Q$169-SUM(AJ$86:AJ109)</f>
        <v>45000000</v>
      </c>
      <c r="R192" s="259">
        <f>R$169-SUM(AK$86:AK109)</f>
        <v>190900000</v>
      </c>
      <c r="S192" s="259">
        <f>S$169-SUM(AL$86:AL109)</f>
        <v>22000000</v>
      </c>
      <c r="T192" s="260">
        <f t="shared" si="176"/>
        <v>6857926753.29</v>
      </c>
    </row>
    <row r="193" spans="1:20">
      <c r="A193" s="75">
        <v>39953</v>
      </c>
      <c r="B193" s="75"/>
      <c r="C193" s="258">
        <f>$C$169-SUM($V$86:V110)</f>
        <v>9.9999904632568359E-3</v>
      </c>
      <c r="D193" s="259">
        <f>D$169-SUM(W$86:W110)</f>
        <v>9.9999308586120605E-3</v>
      </c>
      <c r="E193" s="259">
        <f>E$169-SUM(X$86:X110)</f>
        <v>-9.9999904632568359E-3</v>
      </c>
      <c r="F193" s="259">
        <f>F$169-SUM(Y$86:Y110)</f>
        <v>1206119443.78</v>
      </c>
      <c r="G193" s="259">
        <f>G$169-SUM(Z$86:Z110)</f>
        <v>332539135.31999999</v>
      </c>
      <c r="H193" s="259">
        <f>H$169-SUM(AA$86:AA110)</f>
        <v>2429000000</v>
      </c>
      <c r="I193" s="259">
        <f>I$169-SUM(AB$86:AB110)</f>
        <v>1146000000</v>
      </c>
      <c r="J193" s="259">
        <f>J$169-SUM(AC$86:AC110)</f>
        <v>768500000</v>
      </c>
      <c r="K193" s="259">
        <f>K$169-SUM(AD$86:AD110)</f>
        <v>0</v>
      </c>
      <c r="L193" s="259">
        <f>L$169-SUM(AE$86:AE110)</f>
        <v>140000000</v>
      </c>
      <c r="M193" s="259">
        <f>M$169-SUM(AF$86:AF110)</f>
        <v>20000000</v>
      </c>
      <c r="N193" s="259">
        <f>N$169-SUM(AG$86:AG110)</f>
        <v>0</v>
      </c>
      <c r="O193" s="259">
        <f>O$169-SUM(AH$86:AH110)</f>
        <v>95100000</v>
      </c>
      <c r="P193" s="259">
        <f>P$169-SUM(AI$86:AI110)</f>
        <v>40000000</v>
      </c>
      <c r="Q193" s="259">
        <f>Q$169-SUM(AJ$86:AJ110)</f>
        <v>45000000</v>
      </c>
      <c r="R193" s="259">
        <f>R$169-SUM(AK$86:AK110)</f>
        <v>190900000</v>
      </c>
      <c r="S193" s="259">
        <f>S$169-SUM(AL$86:AL110)</f>
        <v>22000000</v>
      </c>
      <c r="T193" s="260">
        <f t="shared" si="176"/>
        <v>6435158579.1099997</v>
      </c>
    </row>
    <row r="194" spans="1:20">
      <c r="A194" s="75">
        <v>39984</v>
      </c>
      <c r="B194" s="75"/>
      <c r="C194" s="258">
        <f>$C$169-SUM($V$86:V111)</f>
        <v>9.9999904632568359E-3</v>
      </c>
      <c r="D194" s="259">
        <f>D$169-SUM(W$86:W111)</f>
        <v>9.9999308586120605E-3</v>
      </c>
      <c r="E194" s="259">
        <f>E$169-SUM(X$86:X111)</f>
        <v>-9.9999904632568359E-3</v>
      </c>
      <c r="F194" s="259">
        <f>F$169-SUM(Y$86:Y111)</f>
        <v>1206119443.78</v>
      </c>
      <c r="G194" s="259">
        <f>G$169-SUM(Z$86:Z111)</f>
        <v>332539135.31999999</v>
      </c>
      <c r="H194" s="259">
        <f>H$169-SUM(AA$86:AA111)</f>
        <v>2429000000</v>
      </c>
      <c r="I194" s="259">
        <f>I$169-SUM(AB$86:AB111)</f>
        <v>1146000000</v>
      </c>
      <c r="J194" s="259">
        <f>J$169-SUM(AC$86:AC111)</f>
        <v>768500000</v>
      </c>
      <c r="K194" s="259">
        <f>K$169-SUM(AD$86:AD111)</f>
        <v>0</v>
      </c>
      <c r="L194" s="259">
        <f>L$169-SUM(AE$86:AE111)</f>
        <v>140000000</v>
      </c>
      <c r="M194" s="259">
        <f>M$169-SUM(AF$86:AF111)</f>
        <v>20000000</v>
      </c>
      <c r="N194" s="259">
        <f>N$169-SUM(AG$86:AG111)</f>
        <v>0</v>
      </c>
      <c r="O194" s="259">
        <f>O$169-SUM(AH$86:AH111)</f>
        <v>95100000</v>
      </c>
      <c r="P194" s="259">
        <f>P$169-SUM(AI$86:AI111)</f>
        <v>40000000</v>
      </c>
      <c r="Q194" s="259">
        <f>Q$169-SUM(AJ$86:AJ111)</f>
        <v>45000000</v>
      </c>
      <c r="R194" s="259">
        <f>R$169-SUM(AK$86:AK111)</f>
        <v>190900000</v>
      </c>
      <c r="S194" s="259">
        <f>S$169-SUM(AL$86:AL111)</f>
        <v>22000000</v>
      </c>
      <c r="T194" s="260">
        <f t="shared" si="176"/>
        <v>6435158579.1099997</v>
      </c>
    </row>
    <row r="195" spans="1:20">
      <c r="A195" s="75">
        <v>40014</v>
      </c>
      <c r="B195" s="75"/>
      <c r="C195" s="258">
        <f>$C$169-SUM($V$86:V112)</f>
        <v>9.9999904632568359E-3</v>
      </c>
      <c r="D195" s="259">
        <f>D$169-SUM(W$86:W112)</f>
        <v>9.9999308586120605E-3</v>
      </c>
      <c r="E195" s="259">
        <f>E$169-SUM(X$86:X112)</f>
        <v>-9.9999904632568359E-3</v>
      </c>
      <c r="F195" s="259">
        <f>F$169-SUM(Y$86:Y112)</f>
        <v>1206119443.78</v>
      </c>
      <c r="G195" s="259">
        <f>G$169-SUM(Z$86:Z112)</f>
        <v>332539135.31999999</v>
      </c>
      <c r="H195" s="259">
        <f>H$169-SUM(AA$86:AA112)</f>
        <v>2429000000</v>
      </c>
      <c r="I195" s="259">
        <f>I$169-SUM(AB$86:AB112)</f>
        <v>1146000000</v>
      </c>
      <c r="J195" s="259">
        <f>J$169-SUM(AC$86:AC112)</f>
        <v>768500000</v>
      </c>
      <c r="K195" s="259">
        <f>K$169-SUM(AD$86:AD112)</f>
        <v>0</v>
      </c>
      <c r="L195" s="259">
        <f>L$169-SUM(AE$86:AE112)</f>
        <v>140000000</v>
      </c>
      <c r="M195" s="259">
        <f>M$169-SUM(AF$86:AF112)</f>
        <v>20000000</v>
      </c>
      <c r="N195" s="259">
        <f>N$169-SUM(AG$86:AG112)</f>
        <v>0</v>
      </c>
      <c r="O195" s="259">
        <f>O$169-SUM(AH$86:AH112)</f>
        <v>95100000</v>
      </c>
      <c r="P195" s="259">
        <f>P$169-SUM(AI$86:AI112)</f>
        <v>40000000</v>
      </c>
      <c r="Q195" s="259">
        <f>Q$169-SUM(AJ$86:AJ112)</f>
        <v>45000000</v>
      </c>
      <c r="R195" s="259">
        <f>R$169-SUM(AK$86:AK112)</f>
        <v>190900000</v>
      </c>
      <c r="S195" s="259">
        <f>S$169-SUM(AL$86:AL112)</f>
        <v>22000000</v>
      </c>
      <c r="T195" s="260">
        <f t="shared" si="176"/>
        <v>6435158579.1099997</v>
      </c>
    </row>
    <row r="196" spans="1:20">
      <c r="A196" s="75">
        <v>40045</v>
      </c>
      <c r="B196" s="75"/>
      <c r="C196" s="258">
        <f>$C$169-SUM($V$86:V113)</f>
        <v>9.9999904632568359E-3</v>
      </c>
      <c r="D196" s="259">
        <f>D$169-SUM(W$86:W113)</f>
        <v>9.9999308586120605E-3</v>
      </c>
      <c r="E196" s="259">
        <f>E$169-SUM(X$86:X113)</f>
        <v>-9.9999904632568359E-3</v>
      </c>
      <c r="F196" s="259">
        <f>F$169-SUM(Y$86:Y113)</f>
        <v>892702234.54999995</v>
      </c>
      <c r="G196" s="259">
        <f>G$169-SUM(Z$86:Z113)</f>
        <v>246126891.25</v>
      </c>
      <c r="H196" s="259">
        <f>H$169-SUM(AA$86:AA113)</f>
        <v>2429000000</v>
      </c>
      <c r="I196" s="259">
        <f>I$169-SUM(AB$86:AB113)</f>
        <v>1146000000</v>
      </c>
      <c r="J196" s="259">
        <f>J$169-SUM(AC$86:AC113)</f>
        <v>768500000</v>
      </c>
      <c r="K196" s="259">
        <f>K$169-SUM(AD$86:AD113)</f>
        <v>0</v>
      </c>
      <c r="L196" s="259">
        <f>L$169-SUM(AE$86:AE113)</f>
        <v>140000000</v>
      </c>
      <c r="M196" s="259">
        <f>M$169-SUM(AF$86:AF113)</f>
        <v>20000000</v>
      </c>
      <c r="N196" s="259">
        <f>N$169-SUM(AG$86:AG113)</f>
        <v>0</v>
      </c>
      <c r="O196" s="259">
        <f>O$169-SUM(AH$86:AH113)</f>
        <v>95100000</v>
      </c>
      <c r="P196" s="259">
        <f>P$169-SUM(AI$86:AI113)</f>
        <v>40000000</v>
      </c>
      <c r="Q196" s="259">
        <f>Q$169-SUM(AJ$86:AJ113)</f>
        <v>45000000</v>
      </c>
      <c r="R196" s="259">
        <f>R$169-SUM(AK$86:AK113)</f>
        <v>190900000</v>
      </c>
      <c r="S196" s="259">
        <f>S$169-SUM(AL$86:AL113)</f>
        <v>22000000</v>
      </c>
      <c r="T196" s="260">
        <f t="shared" si="176"/>
        <v>6035329125.8099995</v>
      </c>
    </row>
    <row r="197" spans="1:20">
      <c r="A197" s="75">
        <v>40076</v>
      </c>
      <c r="B197" s="75"/>
      <c r="C197" s="258">
        <f>$C$169-SUM($V$86:V114)</f>
        <v>9.9999904632568359E-3</v>
      </c>
      <c r="D197" s="259">
        <f>D$169-SUM(W$86:W114)</f>
        <v>9.9999308586120605E-3</v>
      </c>
      <c r="E197" s="259">
        <f>E$169-SUM(X$86:X114)</f>
        <v>-9.9999904632568359E-3</v>
      </c>
      <c r="F197" s="259">
        <f>F$169-SUM(Y$86:Y114)</f>
        <v>892702234.54999995</v>
      </c>
      <c r="G197" s="259">
        <f>G$169-SUM(Z$86:Z114)</f>
        <v>246126891.25</v>
      </c>
      <c r="H197" s="259">
        <f>H$169-SUM(AA$86:AA114)</f>
        <v>2429000000</v>
      </c>
      <c r="I197" s="259">
        <f>I$169-SUM(AB$86:AB114)</f>
        <v>1146000000</v>
      </c>
      <c r="J197" s="259">
        <f>J$169-SUM(AC$86:AC114)</f>
        <v>768500000</v>
      </c>
      <c r="K197" s="259">
        <f>K$169-SUM(AD$86:AD114)</f>
        <v>0</v>
      </c>
      <c r="L197" s="259">
        <f>L$169-SUM(AE$86:AE114)</f>
        <v>140000000</v>
      </c>
      <c r="M197" s="259">
        <f>M$169-SUM(AF$86:AF114)</f>
        <v>20000000</v>
      </c>
      <c r="N197" s="259">
        <f>N$169-SUM(AG$86:AG114)</f>
        <v>0</v>
      </c>
      <c r="O197" s="259">
        <f>O$169-SUM(AH$86:AH114)</f>
        <v>95100000</v>
      </c>
      <c r="P197" s="259">
        <f>P$169-SUM(AI$86:AI114)</f>
        <v>40000000</v>
      </c>
      <c r="Q197" s="259">
        <f>Q$169-SUM(AJ$86:AJ114)</f>
        <v>45000000</v>
      </c>
      <c r="R197" s="259">
        <f>R$169-SUM(AK$86:AK114)</f>
        <v>190900000</v>
      </c>
      <c r="S197" s="259">
        <f>S$169-SUM(AL$86:AL114)</f>
        <v>22000000</v>
      </c>
      <c r="T197" s="260">
        <f t="shared" si="176"/>
        <v>6035329125.8099995</v>
      </c>
    </row>
    <row r="198" spans="1:20">
      <c r="A198" s="75">
        <v>40106</v>
      </c>
      <c r="B198" s="75"/>
      <c r="C198" s="258">
        <f>$C$169-SUM($V$86:V115)</f>
        <v>9.9999904632568359E-3</v>
      </c>
      <c r="D198" s="259">
        <f>D$169-SUM(W$86:W115)</f>
        <v>9.9999308586120605E-3</v>
      </c>
      <c r="E198" s="259">
        <f>E$169-SUM(X$86:X115)</f>
        <v>-9.9999904632568359E-3</v>
      </c>
      <c r="F198" s="259">
        <f>F$169-SUM(Y$86:Y115)</f>
        <v>892702234.54999995</v>
      </c>
      <c r="G198" s="259">
        <f>G$169-SUM(Z$86:Z115)</f>
        <v>246126891.25</v>
      </c>
      <c r="H198" s="259">
        <f>H$169-SUM(AA$86:AA115)</f>
        <v>2429000000</v>
      </c>
      <c r="I198" s="259">
        <f>I$169-SUM(AB$86:AB115)</f>
        <v>1146000000</v>
      </c>
      <c r="J198" s="259">
        <f>J$169-SUM(AC$86:AC115)</f>
        <v>768500000</v>
      </c>
      <c r="K198" s="259">
        <f>K$169-SUM(AD$86:AD115)</f>
        <v>0</v>
      </c>
      <c r="L198" s="259">
        <f>L$169-SUM(AE$86:AE115)</f>
        <v>140000000</v>
      </c>
      <c r="M198" s="259">
        <f>M$169-SUM(AF$86:AF115)</f>
        <v>20000000</v>
      </c>
      <c r="N198" s="259">
        <f>N$169-SUM(AG$86:AG115)</f>
        <v>0</v>
      </c>
      <c r="O198" s="259">
        <f>O$169-SUM(AH$86:AH115)</f>
        <v>95100000</v>
      </c>
      <c r="P198" s="259">
        <f>P$169-SUM(AI$86:AI115)</f>
        <v>40000000</v>
      </c>
      <c r="Q198" s="259">
        <f>Q$169-SUM(AJ$86:AJ115)</f>
        <v>45000000</v>
      </c>
      <c r="R198" s="259">
        <f>R$169-SUM(AK$86:AK115)</f>
        <v>190900000</v>
      </c>
      <c r="S198" s="259">
        <f>S$169-SUM(AL$86:AL115)</f>
        <v>22000000</v>
      </c>
      <c r="T198" s="260">
        <f t="shared" si="176"/>
        <v>6035329125.8099995</v>
      </c>
    </row>
    <row r="199" spans="1:20">
      <c r="A199" s="75">
        <v>40137</v>
      </c>
      <c r="B199" s="75"/>
      <c r="C199" s="258">
        <f>$C$169-SUM($V$86:V116)</f>
        <v>9.9999904632568359E-3</v>
      </c>
      <c r="D199" s="259">
        <f>D$169-SUM(W$86:W116)</f>
        <v>9.9999308586120605E-3</v>
      </c>
      <c r="E199" s="259">
        <f>E$169-SUM(X$86:X116)</f>
        <v>-9.9999904632568359E-3</v>
      </c>
      <c r="F199" s="259">
        <f>F$169-SUM(Y$86:Y116)</f>
        <v>596290538.80999994</v>
      </c>
      <c r="G199" s="259">
        <f>G$169-SUM(Z$86:Z116)</f>
        <v>164403236.50999999</v>
      </c>
      <c r="H199" s="259">
        <f>H$169-SUM(AA$86:AA116)</f>
        <v>2429000000</v>
      </c>
      <c r="I199" s="259">
        <f>I$169-SUM(AB$86:AB116)</f>
        <v>1146000000</v>
      </c>
      <c r="J199" s="259">
        <f>J$169-SUM(AC$86:AC116)</f>
        <v>768500000</v>
      </c>
      <c r="K199" s="259">
        <f>K$169-SUM(AD$86:AD116)</f>
        <v>0</v>
      </c>
      <c r="L199" s="259">
        <f>L$169-SUM(AE$86:AE116)</f>
        <v>140000000</v>
      </c>
      <c r="M199" s="259">
        <f>M$169-SUM(AF$86:AF116)</f>
        <v>20000000</v>
      </c>
      <c r="N199" s="259">
        <f>N$169-SUM(AG$86:AG116)</f>
        <v>0</v>
      </c>
      <c r="O199" s="259">
        <f>O$169-SUM(AH$86:AH116)</f>
        <v>95100000</v>
      </c>
      <c r="P199" s="259">
        <f>P$169-SUM(AI$86:AI116)</f>
        <v>40000000</v>
      </c>
      <c r="Q199" s="259">
        <f>Q$169-SUM(AJ$86:AJ116)</f>
        <v>45000000</v>
      </c>
      <c r="R199" s="259">
        <f>R$169-SUM(AK$86:AK116)</f>
        <v>190900000</v>
      </c>
      <c r="S199" s="259">
        <f>S$169-SUM(AL$86:AL116)</f>
        <v>22000000</v>
      </c>
      <c r="T199" s="260">
        <f t="shared" si="176"/>
        <v>5657193775.3299999</v>
      </c>
    </row>
    <row r="200" spans="1:20">
      <c r="A200" s="75">
        <v>40167</v>
      </c>
      <c r="B200" s="75"/>
      <c r="C200" s="258">
        <f>$C$169-SUM($V$86:V117)</f>
        <v>9.9999904632568359E-3</v>
      </c>
      <c r="D200" s="259">
        <f>D$169-SUM(W$86:W117)</f>
        <v>9.9999308586120605E-3</v>
      </c>
      <c r="E200" s="259">
        <f>E$169-SUM(X$86:X117)</f>
        <v>-9.9999904632568359E-3</v>
      </c>
      <c r="F200" s="259">
        <f>F$169-SUM(Y$86:Y117)</f>
        <v>596290538.80999994</v>
      </c>
      <c r="G200" s="259">
        <f>G$169-SUM(Z$86:Z117)</f>
        <v>164403236.50999999</v>
      </c>
      <c r="H200" s="259">
        <f>H$169-SUM(AA$86:AA117)</f>
        <v>2429000000</v>
      </c>
      <c r="I200" s="259">
        <f>I$169-SUM(AB$86:AB117)</f>
        <v>1146000000</v>
      </c>
      <c r="J200" s="259">
        <f>J$169-SUM(AC$86:AC117)</f>
        <v>768500000</v>
      </c>
      <c r="K200" s="259">
        <f>K$169-SUM(AD$86:AD117)</f>
        <v>0</v>
      </c>
      <c r="L200" s="259">
        <f>L$169-SUM(AE$86:AE117)</f>
        <v>140000000</v>
      </c>
      <c r="M200" s="259">
        <f>M$169-SUM(AF$86:AF117)</f>
        <v>20000000</v>
      </c>
      <c r="N200" s="259">
        <f>N$169-SUM(AG$86:AG117)</f>
        <v>0</v>
      </c>
      <c r="O200" s="259">
        <f>O$169-SUM(AH$86:AH117)</f>
        <v>95100000</v>
      </c>
      <c r="P200" s="259">
        <f>P$169-SUM(AI$86:AI117)</f>
        <v>40000000</v>
      </c>
      <c r="Q200" s="259">
        <f>Q$169-SUM(AJ$86:AJ117)</f>
        <v>45000000</v>
      </c>
      <c r="R200" s="259">
        <f>R$169-SUM(AK$86:AK117)</f>
        <v>190900000</v>
      </c>
      <c r="S200" s="259">
        <f>S$169-SUM(AL$86:AL117)</f>
        <v>22000000</v>
      </c>
      <c r="T200" s="260">
        <f t="shared" si="176"/>
        <v>5657193775.3299999</v>
      </c>
    </row>
    <row r="201" spans="1:20">
      <c r="A201" s="75">
        <v>40198</v>
      </c>
      <c r="B201" s="75"/>
      <c r="C201" s="258">
        <f>$C$169-SUM($V$86:V118)</f>
        <v>9.9999904632568359E-3</v>
      </c>
      <c r="D201" s="259">
        <f>D$169-SUM(W$86:W118)</f>
        <v>9.9999308586120605E-3</v>
      </c>
      <c r="E201" s="259">
        <f>E$169-SUM(X$86:X118)</f>
        <v>-9.9999904632568359E-3</v>
      </c>
      <c r="F201" s="259">
        <f>F$169-SUM(Y$86:Y118)</f>
        <v>596290538.80999994</v>
      </c>
      <c r="G201" s="259">
        <f>G$169-SUM(Z$86:Z118)</f>
        <v>164403236.50999999</v>
      </c>
      <c r="H201" s="259">
        <f>H$169-SUM(AA$86:AA118)</f>
        <v>2429000000</v>
      </c>
      <c r="I201" s="259">
        <f>I$169-SUM(AB$86:AB118)</f>
        <v>1146000000</v>
      </c>
      <c r="J201" s="259">
        <f>J$169-SUM(AC$86:AC118)</f>
        <v>768500000</v>
      </c>
      <c r="K201" s="259">
        <f>K$169-SUM(AD$86:AD118)</f>
        <v>0</v>
      </c>
      <c r="L201" s="259">
        <f>L$169-SUM(AE$86:AE118)</f>
        <v>140000000</v>
      </c>
      <c r="M201" s="259">
        <f>M$169-SUM(AF$86:AF118)</f>
        <v>20000000</v>
      </c>
      <c r="N201" s="259">
        <f>N$169-SUM(AG$86:AG118)</f>
        <v>0</v>
      </c>
      <c r="O201" s="259">
        <f>O$169-SUM(AH$86:AH118)</f>
        <v>95100000</v>
      </c>
      <c r="P201" s="259">
        <f>P$169-SUM(AI$86:AI118)</f>
        <v>40000000</v>
      </c>
      <c r="Q201" s="259">
        <f>Q$169-SUM(AJ$86:AJ118)</f>
        <v>45000000</v>
      </c>
      <c r="R201" s="259">
        <f>R$169-SUM(AK$86:AK118)</f>
        <v>190900000</v>
      </c>
      <c r="S201" s="259">
        <f>S$169-SUM(AL$86:AL118)</f>
        <v>22000000</v>
      </c>
      <c r="T201" s="260">
        <f t="shared" ref="T201:T232" si="177">SUM(C201:S201)</f>
        <v>5657193775.3299999</v>
      </c>
    </row>
    <row r="202" spans="1:20">
      <c r="A202" s="75">
        <v>40231</v>
      </c>
      <c r="B202" s="75"/>
      <c r="C202" s="258">
        <f>$C$169-SUM($V$86:V119)</f>
        <v>9.9999904632568359E-3</v>
      </c>
      <c r="D202" s="259">
        <f>D$169-SUM(W$86:W119)</f>
        <v>9.9999308586120605E-3</v>
      </c>
      <c r="E202" s="259">
        <f>E$169-SUM(X$86:X119)</f>
        <v>-9.9999904632568359E-3</v>
      </c>
      <c r="F202" s="259">
        <f>F$169-SUM(Y$86:Y119)</f>
        <v>315961664.75</v>
      </c>
      <c r="G202" s="259">
        <f>G$169-SUM(Z$86:Z119)</f>
        <v>87113775.779999971</v>
      </c>
      <c r="H202" s="259">
        <f>H$169-SUM(AA$86:AA119)</f>
        <v>2429000000</v>
      </c>
      <c r="I202" s="259">
        <f>I$169-SUM(AB$86:AB119)</f>
        <v>1146000000</v>
      </c>
      <c r="J202" s="259">
        <f>J$169-SUM(AC$86:AC119)</f>
        <v>768500000</v>
      </c>
      <c r="K202" s="259">
        <f>K$169-SUM(AD$86:AD119)</f>
        <v>0</v>
      </c>
      <c r="L202" s="681">
        <f>L$169-SUM(AE$86:AE119)-74183020.17</f>
        <v>0</v>
      </c>
      <c r="M202" s="681">
        <f>M$169-SUM(AF$86:AF119)-10597574.31</f>
        <v>0</v>
      </c>
      <c r="N202" s="681">
        <f>N$169-SUM(AG$86:AG119)</f>
        <v>0</v>
      </c>
      <c r="O202" s="681">
        <f>O$169-SUM(AH$86:AH119)-50391465.84</f>
        <v>0</v>
      </c>
      <c r="P202" s="681">
        <f>P$169-SUM(AI$86:AI119)-21195148.62</f>
        <v>0</v>
      </c>
      <c r="Q202" s="681">
        <f>Q$169-SUM(AJ$86:AJ119)-23844542.2</f>
        <v>0</v>
      </c>
      <c r="R202" s="681">
        <f>R$169-SUM(AK$86:AK119)-101153846.78</f>
        <v>0</v>
      </c>
      <c r="S202" s="681">
        <f>S$169-SUM(AL$86:AL119)-11657331.74</f>
        <v>0</v>
      </c>
      <c r="T202" s="682">
        <f t="shared" si="177"/>
        <v>4746575440.54</v>
      </c>
    </row>
    <row r="203" spans="1:20">
      <c r="A203" s="75">
        <v>40257</v>
      </c>
      <c r="B203" s="75"/>
      <c r="C203" s="258">
        <f>$C$169-SUM($V$86:V120)</f>
        <v>9.9999904632568359E-3</v>
      </c>
      <c r="D203" s="259">
        <f>D$169-SUM(W$86:W120)</f>
        <v>9.9999308586120605E-3</v>
      </c>
      <c r="E203" s="259">
        <f>E$169-SUM(X$86:X120)</f>
        <v>-9.9999904632568359E-3</v>
      </c>
      <c r="F203" s="259">
        <f>F$169-SUM(Y$86:Y120)</f>
        <v>315961664.75</v>
      </c>
      <c r="G203" s="259">
        <f>G$169-SUM(Z$86:Z120)</f>
        <v>87113775.779999971</v>
      </c>
      <c r="H203" s="259">
        <f>H$169-SUM(AA$86:AA120)</f>
        <v>2429000000</v>
      </c>
      <c r="I203" s="259">
        <f>I$169-SUM(AB$86:AB120)</f>
        <v>1146000000</v>
      </c>
      <c r="J203" s="259">
        <f>J$169-SUM(AC$86:AC120)</f>
        <v>768500000</v>
      </c>
      <c r="K203" s="259">
        <f>K$169-SUM(AD$86:AD120)</f>
        <v>0</v>
      </c>
      <c r="L203" s="681">
        <f>L$169-SUM(AE$86:AE120)-74183020.17</f>
        <v>0</v>
      </c>
      <c r="M203" s="681">
        <f>M$169-SUM(AF$86:AF120)-10597574.31</f>
        <v>0</v>
      </c>
      <c r="N203" s="681">
        <f>N$169-SUM(AG$86:AG120)</f>
        <v>0</v>
      </c>
      <c r="O203" s="681">
        <f>O$169-SUM(AH$86:AH120)-50391465.84</f>
        <v>0</v>
      </c>
      <c r="P203" s="681">
        <f>P$169-SUM(AI$86:AI120)-21195148.62</f>
        <v>0</v>
      </c>
      <c r="Q203" s="681">
        <f>Q$169-SUM(AJ$86:AJ120)-23844542.2</f>
        <v>0</v>
      </c>
      <c r="R203" s="681">
        <f>R$169-SUM(AK$86:AK120)-101153846.78</f>
        <v>0</v>
      </c>
      <c r="S203" s="681">
        <f>S$169-SUM(AL$86:AL120)-11657331.74</f>
        <v>0</v>
      </c>
      <c r="T203" s="682">
        <f t="shared" si="177"/>
        <v>4746575440.54</v>
      </c>
    </row>
    <row r="204" spans="1:20">
      <c r="A204" s="75">
        <v>40288</v>
      </c>
      <c r="B204" s="75"/>
      <c r="C204" s="258">
        <f>$C$169-SUM($V$86:V121)</f>
        <v>9.9999904632568359E-3</v>
      </c>
      <c r="D204" s="259">
        <f>D$169-SUM(W$86:W121)</f>
        <v>9.9999308586120605E-3</v>
      </c>
      <c r="E204" s="259">
        <f>E$169-SUM(X$86:X121)</f>
        <v>-9.9999904632568359E-3</v>
      </c>
      <c r="F204" s="259">
        <f>F$169-SUM(Y$86:Y121)</f>
        <v>315961664.75</v>
      </c>
      <c r="G204" s="259">
        <f>G$169-SUM(Z$86:Z121)</f>
        <v>87113775.779999971</v>
      </c>
      <c r="H204" s="259">
        <f>H$169-SUM(AA$86:AA121)</f>
        <v>2429000000</v>
      </c>
      <c r="I204" s="259">
        <f>I$169-SUM(AB$86:AB121)</f>
        <v>1146000000</v>
      </c>
      <c r="J204" s="259">
        <f>J$169-SUM(AC$86:AC121)</f>
        <v>768500000</v>
      </c>
      <c r="K204" s="259">
        <f>K$169-SUM(AD$86:AD121)</f>
        <v>0</v>
      </c>
      <c r="L204" s="681">
        <f>L$169-SUM(AE$86:AE121)-74183020.17</f>
        <v>0</v>
      </c>
      <c r="M204" s="681">
        <f>M$169-SUM(AF$86:AF121)-10597574.31</f>
        <v>0</v>
      </c>
      <c r="N204" s="681">
        <f>N$169-SUM(AG$86:AG121)</f>
        <v>0</v>
      </c>
      <c r="O204" s="681">
        <f>O$169-SUM(AH$86:AH121)-50391465.84</f>
        <v>0</v>
      </c>
      <c r="P204" s="681">
        <f>P$169-SUM(AI$86:AI121)-21195148.62</f>
        <v>0</v>
      </c>
      <c r="Q204" s="681">
        <f>Q$169-SUM(AJ$86:AJ121)-23844542.2</f>
        <v>0</v>
      </c>
      <c r="R204" s="681">
        <f>R$169-SUM(AK$86:AK121)-101153846.78</f>
        <v>0</v>
      </c>
      <c r="S204" s="681">
        <f>S$169-SUM(AL$86:AL121)-11657331.74</f>
        <v>0</v>
      </c>
      <c r="T204" s="682">
        <f t="shared" si="177"/>
        <v>4746575440.54</v>
      </c>
    </row>
    <row r="205" spans="1:20">
      <c r="A205" s="75">
        <v>40318</v>
      </c>
      <c r="B205" s="75"/>
      <c r="C205" s="258">
        <f>$C$169-SUM($V$86:V122)</f>
        <v>9.9999904632568359E-3</v>
      </c>
      <c r="D205" s="259">
        <f>D$169-SUM(W$86:W122)</f>
        <v>9.9999308586120605E-3</v>
      </c>
      <c r="E205" s="259">
        <f>E$169-SUM(X$86:X122)</f>
        <v>-9.9999904632568359E-3</v>
      </c>
      <c r="F205" s="259">
        <f>F$169-SUM(Y$86:Y122)</f>
        <v>50842984.349999905</v>
      </c>
      <c r="G205" s="259">
        <f>G$169-SUM(Z$86:Z122)</f>
        <v>14017916.829999983</v>
      </c>
      <c r="H205" s="259">
        <f>H$169-SUM(AA$86:AA122)</f>
        <v>2429000000</v>
      </c>
      <c r="I205" s="259">
        <f>I$169-SUM(AB$86:AB122)</f>
        <v>1146000000</v>
      </c>
      <c r="J205" s="259">
        <f>J$169-SUM(AC$86:AC122)</f>
        <v>768500000</v>
      </c>
      <c r="K205" s="259">
        <f>K$169-SUM(AD$86:AD122)</f>
        <v>0</v>
      </c>
      <c r="L205" s="681">
        <f>L$169-SUM(AE$86:AE122)-74183020.17</f>
        <v>0</v>
      </c>
      <c r="M205" s="681">
        <f>M$169-SUM(AF$86:AF122)-10597574.31</f>
        <v>0</v>
      </c>
      <c r="N205" s="681">
        <f>N$169-SUM(AG$86:AG122)</f>
        <v>0</v>
      </c>
      <c r="O205" s="681">
        <f>O$169-SUM(AH$86:AH122)-50391465.84</f>
        <v>0</v>
      </c>
      <c r="P205" s="681">
        <f>P$169-SUM(AI$86:AI122)-21195148.62</f>
        <v>0</v>
      </c>
      <c r="Q205" s="681">
        <f>Q$169-SUM(AJ$86:AJ122)-23844542.2</f>
        <v>0</v>
      </c>
      <c r="R205" s="681">
        <f>R$169-SUM(AK$86:AK122)-101153846.78</f>
        <v>0</v>
      </c>
      <c r="S205" s="681">
        <f>S$169-SUM(AL$86:AL122)-11657331.74</f>
        <v>0</v>
      </c>
      <c r="T205" s="682">
        <f t="shared" si="177"/>
        <v>4408360901.1899996</v>
      </c>
    </row>
    <row r="206" spans="1:20">
      <c r="A206" s="75">
        <v>40349</v>
      </c>
      <c r="B206" s="75"/>
      <c r="C206" s="258">
        <f>$C$169-SUM($V$86:V123)</f>
        <v>9.9999904632568359E-3</v>
      </c>
      <c r="D206" s="259">
        <f>D$169-SUM(W$86:W123)</f>
        <v>9.9999308586120605E-3</v>
      </c>
      <c r="E206" s="259">
        <f>E$169-SUM(X$86:X123)</f>
        <v>-9.9999904632568359E-3</v>
      </c>
      <c r="F206" s="259">
        <f>F$169-SUM(Y$86:Y123)</f>
        <v>50842984.349999905</v>
      </c>
      <c r="G206" s="259">
        <f>G$169-SUM(Z$86:Z123)</f>
        <v>14017916.829999983</v>
      </c>
      <c r="H206" s="259">
        <f>H$169-SUM(AA$86:AA123)</f>
        <v>2429000000</v>
      </c>
      <c r="I206" s="259">
        <f>I$169-SUM(AB$86:AB123)</f>
        <v>1146000000</v>
      </c>
      <c r="J206" s="259">
        <f>J$169-SUM(AC$86:AC123)</f>
        <v>768500000</v>
      </c>
      <c r="K206" s="259">
        <f>K$169-SUM(AD$86:AD123)</f>
        <v>0</v>
      </c>
      <c r="L206" s="681">
        <f>L$169-SUM(AE$86:AE123)-74183020.17</f>
        <v>0</v>
      </c>
      <c r="M206" s="681">
        <f>M$169-SUM(AF$86:AF123)-10597574.31</f>
        <v>0</v>
      </c>
      <c r="N206" s="681">
        <f>N$169-SUM(AG$86:AG123)</f>
        <v>0</v>
      </c>
      <c r="O206" s="681">
        <f>O$169-SUM(AH$86:AH123)-50391465.84</f>
        <v>0</v>
      </c>
      <c r="P206" s="681">
        <f>P$169-SUM(AI$86:AI123)-21195148.62</f>
        <v>0</v>
      </c>
      <c r="Q206" s="681">
        <f>Q$169-SUM(AJ$86:AJ123)-23844542.2</f>
        <v>0</v>
      </c>
      <c r="R206" s="681">
        <f>R$169-SUM(AK$86:AK123)-101153846.78</f>
        <v>0</v>
      </c>
      <c r="S206" s="681">
        <f>S$169-SUM(AL$86:AL123)-11657331.74</f>
        <v>0</v>
      </c>
      <c r="T206" s="682">
        <f t="shared" si="177"/>
        <v>4408360901.1899996</v>
      </c>
    </row>
    <row r="207" spans="1:20">
      <c r="A207" s="75">
        <v>40379</v>
      </c>
      <c r="B207" s="75"/>
      <c r="C207" s="258">
        <f>$C$169-SUM($V$86:V124)</f>
        <v>9.9999904632568359E-3</v>
      </c>
      <c r="D207" s="259">
        <f>D$169-SUM(W$86:W124)</f>
        <v>9.9999308586120605E-3</v>
      </c>
      <c r="E207" s="259">
        <f>E$169-SUM(X$86:X124)</f>
        <v>-9.9999904632568359E-3</v>
      </c>
      <c r="F207" s="259">
        <f>F$169-SUM(Y$86:Y124)</f>
        <v>50842984.349999905</v>
      </c>
      <c r="G207" s="259">
        <f>G$169-SUM(Z$86:Z124)</f>
        <v>14017916.829999983</v>
      </c>
      <c r="H207" s="259">
        <f>H$169-SUM(AA$86:AA124)</f>
        <v>2429000000</v>
      </c>
      <c r="I207" s="259">
        <f>I$169-SUM(AB$86:AB124)</f>
        <v>1146000000</v>
      </c>
      <c r="J207" s="259">
        <f>J$169-SUM(AC$86:AC124)</f>
        <v>768500000</v>
      </c>
      <c r="K207" s="259">
        <f>K$169-SUM(AD$86:AD124)</f>
        <v>0</v>
      </c>
      <c r="L207" s="681">
        <f>L$169-SUM(AE$86:AE124)-74183020.17</f>
        <v>0</v>
      </c>
      <c r="M207" s="681">
        <f>M$169-SUM(AF$86:AF124)-10597574.31</f>
        <v>0</v>
      </c>
      <c r="N207" s="681">
        <f>N$169-SUM(AG$86:AG124)</f>
        <v>0</v>
      </c>
      <c r="O207" s="681">
        <f>O$169-SUM(AH$86:AH124)-50391465.84</f>
        <v>0</v>
      </c>
      <c r="P207" s="681">
        <f>P$169-SUM(AI$86:AI124)-21195148.62</f>
        <v>0</v>
      </c>
      <c r="Q207" s="681">
        <f>Q$169-SUM(AJ$86:AJ124)-23844542.2</f>
        <v>0</v>
      </c>
      <c r="R207" s="681">
        <f>R$169-SUM(AK$86:AK124)-101153846.78</f>
        <v>0</v>
      </c>
      <c r="S207" s="681">
        <f>S$169-SUM(AL$86:AL124)-11657331.74</f>
        <v>0</v>
      </c>
      <c r="T207" s="682">
        <f t="shared" si="177"/>
        <v>4408360901.1899996</v>
      </c>
    </row>
    <row r="208" spans="1:20">
      <c r="A208" s="75">
        <v>40410</v>
      </c>
      <c r="B208" s="75"/>
      <c r="C208" s="258">
        <f>$C$169-SUM($V$86:V125)</f>
        <v>9.9999904632568359E-3</v>
      </c>
      <c r="D208" s="259">
        <f>D$169-SUM(W$86:W125)</f>
        <v>9.9999308586120605E-3</v>
      </c>
      <c r="E208" s="259">
        <f>E$169-SUM(X$86:X125)</f>
        <v>-9.9999904632568359E-3</v>
      </c>
      <c r="F208" s="259">
        <f>F$169-SUM(Y$86:Y125)</f>
        <v>0</v>
      </c>
      <c r="G208" s="259">
        <f>G$169-SUM(Z$86:Z125)</f>
        <v>0</v>
      </c>
      <c r="H208" s="259">
        <f>H$169-SUM(AA$86:AA125)</f>
        <v>2308019618.75</v>
      </c>
      <c r="I208" s="259">
        <f>I$169-SUM(AB$86:AB125)</f>
        <v>1088921565.7</v>
      </c>
      <c r="J208" s="259">
        <f>J$169-SUM(AC$86:AC125)</f>
        <v>730223580.49000001</v>
      </c>
      <c r="K208" s="259">
        <f>K$169-SUM(AD$86:AD125)</f>
        <v>0</v>
      </c>
      <c r="L208" s="681">
        <f>L$169-SUM(AE$86:AE125)-74183020.17</f>
        <v>0</v>
      </c>
      <c r="M208" s="681">
        <f>M$169-SUM(AF$86:AF125)-10597574.31</f>
        <v>0</v>
      </c>
      <c r="N208" s="681">
        <f>N$169-SUM(AG$86:AG125)</f>
        <v>0</v>
      </c>
      <c r="O208" s="681">
        <f>O$169-SUM(AH$86:AH125)-50391465.84</f>
        <v>0</v>
      </c>
      <c r="P208" s="681">
        <f>P$169-SUM(AI$86:AI125)-21195148.62</f>
        <v>0</v>
      </c>
      <c r="Q208" s="681">
        <f>Q$169-SUM(AJ$86:AJ125)-23844542.2</f>
        <v>0</v>
      </c>
      <c r="R208" s="681">
        <f>R$169-SUM(AK$86:AK125)-101153846.78</f>
        <v>0</v>
      </c>
      <c r="S208" s="681">
        <f>S$169-SUM(AL$86:AL125)-11657331.74</f>
        <v>0</v>
      </c>
      <c r="T208" s="682">
        <f t="shared" si="177"/>
        <v>4127164764.9499998</v>
      </c>
    </row>
    <row r="209" spans="1:20">
      <c r="A209" s="75">
        <v>40441</v>
      </c>
      <c r="B209" s="75"/>
      <c r="C209" s="258">
        <f>$C$169-SUM($V$86:V126)</f>
        <v>9.9999904632568359E-3</v>
      </c>
      <c r="D209" s="259">
        <f>D$169-SUM(W$86:W126)</f>
        <v>9.9999308586120605E-3</v>
      </c>
      <c r="E209" s="259">
        <f>E$169-SUM(X$86:X126)</f>
        <v>-9.9999904632568359E-3</v>
      </c>
      <c r="F209" s="259">
        <f>F$169-SUM(Y$86:Y126)</f>
        <v>0</v>
      </c>
      <c r="G209" s="259">
        <f>G$169-SUM(Z$86:Z126)</f>
        <v>0</v>
      </c>
      <c r="H209" s="259">
        <f>H$169-SUM(AA$86:AA126)</f>
        <v>2308019618.75</v>
      </c>
      <c r="I209" s="259">
        <f>I$169-SUM(AB$86:AB126)</f>
        <v>1088921565.7</v>
      </c>
      <c r="J209" s="259">
        <f>J$169-SUM(AC$86:AC126)</f>
        <v>730223580.49000001</v>
      </c>
      <c r="K209" s="259">
        <f>K$169-SUM(AD$86:AD126)</f>
        <v>0</v>
      </c>
      <c r="L209" s="681">
        <f>L$169-SUM(AE$86:AE126)-74183020.17</f>
        <v>0</v>
      </c>
      <c r="M209" s="681">
        <f>M$169-SUM(AF$86:AF126)-10597574.31</f>
        <v>0</v>
      </c>
      <c r="N209" s="681">
        <f>N$169-SUM(AG$86:AG126)</f>
        <v>0</v>
      </c>
      <c r="O209" s="681">
        <f>O$169-SUM(AH$86:AH126)-50391465.84</f>
        <v>0</v>
      </c>
      <c r="P209" s="681">
        <f>P$169-SUM(AI$86:AI126)-21195148.62</f>
        <v>0</v>
      </c>
      <c r="Q209" s="681">
        <f>Q$169-SUM(AJ$86:AJ126)-23844542.2</f>
        <v>0</v>
      </c>
      <c r="R209" s="681">
        <f>R$169-SUM(AK$86:AK126)-101153846.78</f>
        <v>0</v>
      </c>
      <c r="S209" s="681">
        <f>S$169-SUM(AL$86:AL126)-11657331.74</f>
        <v>0</v>
      </c>
      <c r="T209" s="682">
        <f t="shared" si="177"/>
        <v>4127164764.9499998</v>
      </c>
    </row>
    <row r="210" spans="1:20">
      <c r="A210" s="75">
        <v>40471</v>
      </c>
      <c r="B210" s="75"/>
      <c r="C210" s="258">
        <f>$C$169-SUM($V$86:V127)</f>
        <v>9.9999904632568359E-3</v>
      </c>
      <c r="D210" s="259">
        <f>D$169-SUM(W$86:W127)</f>
        <v>9.9999308586120605E-3</v>
      </c>
      <c r="E210" s="259">
        <f>E$169-SUM(X$86:X127)</f>
        <v>-9.9999904632568359E-3</v>
      </c>
      <c r="F210" s="259">
        <f>F$169-SUM(Y$86:Y127)</f>
        <v>0</v>
      </c>
      <c r="G210" s="259">
        <f>G$169-SUM(Z$86:Z127)</f>
        <v>0</v>
      </c>
      <c r="H210" s="259">
        <f>H$169-SUM(AA$86:AA127)</f>
        <v>2308019618.75</v>
      </c>
      <c r="I210" s="259">
        <f>I$169-SUM(AB$86:AB127)</f>
        <v>1088921565.7</v>
      </c>
      <c r="J210" s="259">
        <f>J$169-SUM(AC$86:AC127)</f>
        <v>730223580.49000001</v>
      </c>
      <c r="K210" s="259">
        <f>K$169-SUM(AD$86:AD127)</f>
        <v>0</v>
      </c>
      <c r="L210" s="681">
        <f>L$169-SUM(AE$86:AE127)-74183020.17</f>
        <v>0</v>
      </c>
      <c r="M210" s="681">
        <f>M$169-SUM(AF$86:AF127)-10597574.31</f>
        <v>0</v>
      </c>
      <c r="N210" s="681">
        <f>N$169-SUM(AG$86:AG127)</f>
        <v>0</v>
      </c>
      <c r="O210" s="681">
        <f>O$169-SUM(AH$86:AH127)-50391465.84</f>
        <v>0</v>
      </c>
      <c r="P210" s="681">
        <f>P$169-SUM(AI$86:AI127)-21195148.62</f>
        <v>0</v>
      </c>
      <c r="Q210" s="681">
        <f>Q$169-SUM(AJ$86:AJ127)-23844542.2</f>
        <v>0</v>
      </c>
      <c r="R210" s="681">
        <f>R$169-SUM(AK$86:AK127)-101153846.78</f>
        <v>0</v>
      </c>
      <c r="S210" s="681">
        <f>S$169-SUM(AL$86:AL127)-11657331.74</f>
        <v>0</v>
      </c>
      <c r="T210" s="682">
        <f t="shared" si="177"/>
        <v>4127164764.9499998</v>
      </c>
    </row>
    <row r="211" spans="1:20">
      <c r="A211" s="75">
        <v>40504</v>
      </c>
      <c r="B211" s="75"/>
      <c r="C211" s="258">
        <f>$C$169-SUM($V$86:V128)</f>
        <v>9.9999904632568359E-3</v>
      </c>
      <c r="D211" s="259">
        <f>D$169-SUM(W$86:W128)</f>
        <v>9.9999308586120605E-3</v>
      </c>
      <c r="E211" s="259">
        <f>E$169-SUM(X$86:X128)</f>
        <v>-9.9999904632568359E-3</v>
      </c>
      <c r="F211" s="259">
        <f>F$169-SUM(Y$86:Y128)</f>
        <v>0</v>
      </c>
      <c r="G211" s="259">
        <f>G$169-SUM(Z$86:Z128)</f>
        <v>0</v>
      </c>
      <c r="H211" s="259">
        <f>H$169-SUM(AA$86:AA128)</f>
        <v>2164501245.7199998</v>
      </c>
      <c r="I211" s="259">
        <f>I$169-SUM(AB$86:AB128)</f>
        <v>1021209727.29</v>
      </c>
      <c r="J211" s="259">
        <f>J$169-SUM(AC$86:AC128)</f>
        <v>684816470.70000005</v>
      </c>
      <c r="K211" s="259">
        <f>K$169-SUM(AD$86:AD128)</f>
        <v>0</v>
      </c>
      <c r="L211" s="681">
        <f>L$169-SUM(AE$86:AE128)-74183020.17</f>
        <v>0</v>
      </c>
      <c r="M211" s="681">
        <f>M$169-SUM(AF$86:AF128)-10597574.31</f>
        <v>0</v>
      </c>
      <c r="N211" s="681">
        <f>N$169-SUM(AG$86:AG128)</f>
        <v>0</v>
      </c>
      <c r="O211" s="681">
        <f>O$169-SUM(AH$86:AH128)-50391465.84</f>
        <v>0</v>
      </c>
      <c r="P211" s="681">
        <f>P$169-SUM(AI$86:AI128)-21195148.62</f>
        <v>0</v>
      </c>
      <c r="Q211" s="681">
        <f>Q$169-SUM(AJ$86:AJ128)-23844542.2</f>
        <v>0</v>
      </c>
      <c r="R211" s="681">
        <f>R$169-SUM(AK$86:AK128)-101153846.78</f>
        <v>0</v>
      </c>
      <c r="S211" s="681">
        <f>S$169-SUM(AL$86:AL128)-11657331.74</f>
        <v>0</v>
      </c>
      <c r="T211" s="682">
        <f t="shared" si="177"/>
        <v>3870527443.7199993</v>
      </c>
    </row>
    <row r="212" spans="1:20">
      <c r="A212" s="75">
        <v>40532</v>
      </c>
      <c r="B212" s="75"/>
      <c r="C212" s="258">
        <f>$C$169-SUM($V$86:V129)</f>
        <v>9.9999904632568359E-3</v>
      </c>
      <c r="D212" s="259">
        <f>D$169-SUM(W$86:W129)</f>
        <v>9.9999308586120605E-3</v>
      </c>
      <c r="E212" s="259">
        <f>E$169-SUM(X$86:X129)</f>
        <v>-9.9999904632568359E-3</v>
      </c>
      <c r="F212" s="259">
        <f>F$169-SUM(Y$86:Y129)</f>
        <v>0</v>
      </c>
      <c r="G212" s="259">
        <f>G$169-SUM(Z$86:Z129)</f>
        <v>0</v>
      </c>
      <c r="H212" s="259">
        <f>H$169-SUM(AA$86:AA129)</f>
        <v>2164501245.7199998</v>
      </c>
      <c r="I212" s="259">
        <f>I$169-SUM(AB$86:AB129)</f>
        <v>1021209727.29</v>
      </c>
      <c r="J212" s="259">
        <f>J$169-SUM(AC$86:AC129)</f>
        <v>684816470.70000005</v>
      </c>
      <c r="K212" s="259">
        <f>K$169-SUM(AD$86:AD129)</f>
        <v>0</v>
      </c>
      <c r="L212" s="681">
        <f>L$169-SUM(AE$86:AE129)-74183020.17</f>
        <v>0</v>
      </c>
      <c r="M212" s="681">
        <f>M$169-SUM(AF$86:AF129)-10597574.31</f>
        <v>0</v>
      </c>
      <c r="N212" s="681">
        <f>N$169-SUM(AG$86:AG129)</f>
        <v>0</v>
      </c>
      <c r="O212" s="681">
        <f>O$169-SUM(AH$86:AH129)-50391465.84</f>
        <v>0</v>
      </c>
      <c r="P212" s="681">
        <f>P$169-SUM(AI$86:AI129)-21195148.62</f>
        <v>0</v>
      </c>
      <c r="Q212" s="681">
        <f>Q$169-SUM(AJ$86:AJ129)-23844542.2</f>
        <v>0</v>
      </c>
      <c r="R212" s="681">
        <f>R$169-SUM(AK$86:AK129)-101153846.78</f>
        <v>0</v>
      </c>
      <c r="S212" s="681">
        <f>S$169-SUM(AL$86:AL129)-11657331.74</f>
        <v>0</v>
      </c>
      <c r="T212" s="682">
        <f t="shared" si="177"/>
        <v>3870527443.7199993</v>
      </c>
    </row>
    <row r="213" spans="1:20">
      <c r="A213" s="75">
        <v>40563</v>
      </c>
      <c r="B213" s="75"/>
      <c r="C213" s="258">
        <f>$C$169-SUM($V$86:V130)</f>
        <v>9.9999904632568359E-3</v>
      </c>
      <c r="D213" s="259">
        <f>D$169-SUM(W$86:W130)</f>
        <v>9.9999308586120605E-3</v>
      </c>
      <c r="E213" s="259">
        <f>E$169-SUM(X$86:X130)</f>
        <v>-9.9999904632568359E-3</v>
      </c>
      <c r="F213" s="259">
        <f>F$169-SUM(Y$86:Y130)</f>
        <v>0</v>
      </c>
      <c r="G213" s="259">
        <f>G$169-SUM(Z$86:Z130)</f>
        <v>0</v>
      </c>
      <c r="H213" s="259">
        <f>H$169-SUM(AA$86:AA130)</f>
        <v>2164501245.7199998</v>
      </c>
      <c r="I213" s="259">
        <f>I$169-SUM(AB$86:AB130)</f>
        <v>1021209727.29</v>
      </c>
      <c r="J213" s="259">
        <f>J$169-SUM(AC$86:AC130)</f>
        <v>684816470.70000005</v>
      </c>
      <c r="K213" s="259">
        <f>K$169-SUM(AD$86:AD130)</f>
        <v>0</v>
      </c>
      <c r="L213" s="681">
        <f>L$169-SUM(AE$86:AE130)-74183020.17</f>
        <v>0</v>
      </c>
      <c r="M213" s="681">
        <f>M$169-SUM(AF$86:AF130)-10597574.31</f>
        <v>0</v>
      </c>
      <c r="N213" s="681">
        <f>N$169-SUM(AG$86:AG130)</f>
        <v>0</v>
      </c>
      <c r="O213" s="681">
        <f>O$169-SUM(AH$86:AH130)-50391465.84</f>
        <v>0</v>
      </c>
      <c r="P213" s="681">
        <f>P$169-SUM(AI$86:AI130)-21195148.62</f>
        <v>0</v>
      </c>
      <c r="Q213" s="681">
        <f>Q$169-SUM(AJ$86:AJ130)-23844542.2</f>
        <v>0</v>
      </c>
      <c r="R213" s="681">
        <f>R$169-SUM(AK$86:AK130)-101153846.78</f>
        <v>0</v>
      </c>
      <c r="S213" s="681">
        <f>S$169-SUM(AL$86:AL130)-11657331.74</f>
        <v>0</v>
      </c>
      <c r="T213" s="682">
        <f t="shared" si="177"/>
        <v>3870527443.7199993</v>
      </c>
    </row>
    <row r="214" spans="1:20">
      <c r="A214" s="75">
        <v>40596</v>
      </c>
      <c r="B214" s="75"/>
      <c r="C214" s="258">
        <f>$C$169-SUM($V$86:V131)</f>
        <v>9.9999904632568359E-3</v>
      </c>
      <c r="D214" s="259">
        <f>D$169-SUM(W$86:W131)</f>
        <v>9.9999308586120605E-3</v>
      </c>
      <c r="E214" s="259">
        <f>E$169-SUM(X$86:X131)</f>
        <v>-9.9999904632568359E-3</v>
      </c>
      <c r="F214" s="259">
        <f>F$169-SUM(Y$86:Y131)</f>
        <v>0</v>
      </c>
      <c r="G214" s="259">
        <f>G$169-SUM(Z$86:Z131)</f>
        <v>0</v>
      </c>
      <c r="H214" s="259">
        <f>H$169-SUM(AA$86:AA131)</f>
        <v>2028769948.6900001</v>
      </c>
      <c r="I214" s="259">
        <f>I$169-SUM(AB$86:AB131)</f>
        <v>957171824.27999997</v>
      </c>
      <c r="J214" s="259">
        <f>J$169-SUM(AC$86:AC131)</f>
        <v>641873077.63</v>
      </c>
      <c r="K214" s="259">
        <f>K$169-SUM(AD$86:AD131)</f>
        <v>0</v>
      </c>
      <c r="L214" s="681">
        <f>L$169-SUM(AE$86:AE131)-74183020.17</f>
        <v>0</v>
      </c>
      <c r="M214" s="681">
        <f>M$169-SUM(AF$86:AF131)-10597574.31</f>
        <v>0</v>
      </c>
      <c r="N214" s="681">
        <f>N$169-SUM(AG$86:AG131)</f>
        <v>0</v>
      </c>
      <c r="O214" s="681">
        <f>O$169-SUM(AH$86:AH131)-50391465.84</f>
        <v>0</v>
      </c>
      <c r="P214" s="681">
        <f>P$169-SUM(AI$86:AI131)-21195148.62</f>
        <v>0</v>
      </c>
      <c r="Q214" s="681">
        <f>Q$169-SUM(AJ$86:AJ131)-23844542.2</f>
        <v>0</v>
      </c>
      <c r="R214" s="681">
        <f>R$169-SUM(AK$86:AK131)-101153846.78</f>
        <v>0</v>
      </c>
      <c r="S214" s="681">
        <f>S$169-SUM(AL$86:AL131)-11657331.74</f>
        <v>0</v>
      </c>
      <c r="T214" s="682">
        <f t="shared" si="177"/>
        <v>3627814850.6100001</v>
      </c>
    </row>
    <row r="215" spans="1:20">
      <c r="A215" s="75">
        <v>40622</v>
      </c>
      <c r="B215" s="75"/>
      <c r="C215" s="258">
        <f>$C$169-SUM($V$86:V132)</f>
        <v>9.9999904632568359E-3</v>
      </c>
      <c r="D215" s="259">
        <f>D$169-SUM(W$86:W132)</f>
        <v>9.9999308586120605E-3</v>
      </c>
      <c r="E215" s="259">
        <f>E$169-SUM(X$86:X132)</f>
        <v>-9.9999904632568359E-3</v>
      </c>
      <c r="F215" s="259">
        <f>F$169-SUM(Y$86:Y132)</f>
        <v>0</v>
      </c>
      <c r="G215" s="259">
        <f>G$169-SUM(Z$86:Z132)</f>
        <v>0</v>
      </c>
      <c r="H215" s="259">
        <f>H$169-SUM(AA$86:AA132)</f>
        <v>2028769948.6900001</v>
      </c>
      <c r="I215" s="259">
        <f>I$169-SUM(AB$86:AB132)</f>
        <v>957171824.27999997</v>
      </c>
      <c r="J215" s="259">
        <f>J$169-SUM(AC$86:AC132)</f>
        <v>641873077.63</v>
      </c>
      <c r="K215" s="259">
        <f>K$169-SUM(AD$86:AD132)</f>
        <v>0</v>
      </c>
      <c r="L215" s="681">
        <f>L$169-SUM(AE$86:AE132)-74183020.17</f>
        <v>0</v>
      </c>
      <c r="M215" s="681">
        <f>M$169-SUM(AF$86:AF132)-10597574.31</f>
        <v>0</v>
      </c>
      <c r="N215" s="681">
        <f>N$169-SUM(AG$86:AG132)</f>
        <v>0</v>
      </c>
      <c r="O215" s="681">
        <f>O$169-SUM(AH$86:AH132)-50391465.84</f>
        <v>0</v>
      </c>
      <c r="P215" s="681">
        <f>P$169-SUM(AI$86:AI132)-21195148.62</f>
        <v>0</v>
      </c>
      <c r="Q215" s="681">
        <f>Q$169-SUM(AJ$86:AJ132)-23844542.2</f>
        <v>0</v>
      </c>
      <c r="R215" s="681">
        <f>R$169-SUM(AK$86:AK132)-101153846.78</f>
        <v>0</v>
      </c>
      <c r="S215" s="681">
        <f>S$169-SUM(AL$86:AL132)-11657331.74</f>
        <v>0</v>
      </c>
      <c r="T215" s="682">
        <f t="shared" si="177"/>
        <v>3627814850.6100001</v>
      </c>
    </row>
    <row r="216" spans="1:20">
      <c r="A216" s="75">
        <v>40653</v>
      </c>
      <c r="B216" s="75"/>
      <c r="C216" s="258">
        <f>$C$169-SUM($V$86:V133)</f>
        <v>9.9999904632568359E-3</v>
      </c>
      <c r="D216" s="259">
        <f>D$169-SUM(W$86:W133)</f>
        <v>9.9999308586120605E-3</v>
      </c>
      <c r="E216" s="259">
        <f>E$169-SUM(X$86:X133)</f>
        <v>-9.9999904632568359E-3</v>
      </c>
      <c r="F216" s="259">
        <f>F$169-SUM(Y$86:Y133)</f>
        <v>0</v>
      </c>
      <c r="G216" s="259">
        <f>G$169-SUM(Z$86:Z133)</f>
        <v>0</v>
      </c>
      <c r="H216" s="259">
        <f>H$169-SUM(AA$86:AA133)</f>
        <v>2028769948.6900001</v>
      </c>
      <c r="I216" s="259">
        <f>I$169-SUM(AB$86:AB133)</f>
        <v>957171824.27999997</v>
      </c>
      <c r="J216" s="259">
        <f>J$169-SUM(AC$86:AC133)</f>
        <v>641873077.63</v>
      </c>
      <c r="K216" s="259">
        <f>K$169-SUM(AD$86:AD133)</f>
        <v>0</v>
      </c>
      <c r="L216" s="681">
        <f>L$169-SUM(AE$86:AE133)-74183020.17</f>
        <v>0</v>
      </c>
      <c r="M216" s="681">
        <f>M$169-SUM(AF$86:AF133)-10597574.31</f>
        <v>0</v>
      </c>
      <c r="N216" s="681">
        <f>N$169-SUM(AG$86:AG133)</f>
        <v>0</v>
      </c>
      <c r="O216" s="681">
        <f>O$169-SUM(AH$86:AH133)-50391465.84</f>
        <v>0</v>
      </c>
      <c r="P216" s="681">
        <f>P$169-SUM(AI$86:AI133)-21195148.62</f>
        <v>0</v>
      </c>
      <c r="Q216" s="681">
        <f>Q$169-SUM(AJ$86:AJ133)-23844542.2</f>
        <v>0</v>
      </c>
      <c r="R216" s="681">
        <f>R$169-SUM(AK$86:AK133)-101153846.78</f>
        <v>0</v>
      </c>
      <c r="S216" s="681">
        <f>S$169-SUM(AL$86:AL133)-11657331.74</f>
        <v>0</v>
      </c>
      <c r="T216" s="682">
        <f t="shared" si="177"/>
        <v>3627814850.6100001</v>
      </c>
    </row>
    <row r="217" spans="1:20">
      <c r="A217" s="75">
        <v>40683</v>
      </c>
      <c r="B217" s="75"/>
      <c r="C217" s="258">
        <f>$C$169-SUM($V$86:V134)</f>
        <v>9.9999904632568359E-3</v>
      </c>
      <c r="D217" s="259">
        <f>D$169-SUM(W$86:W134)</f>
        <v>9.9999308586120605E-3</v>
      </c>
      <c r="E217" s="259">
        <f>E$169-SUM(X$86:X134)</f>
        <v>-9.9999904632568359E-3</v>
      </c>
      <c r="F217" s="259">
        <f>F$169-SUM(Y$86:Y134)</f>
        <v>0</v>
      </c>
      <c r="G217" s="259">
        <f>G$169-SUM(Z$86:Z134)</f>
        <v>0</v>
      </c>
      <c r="H217" s="259">
        <f>H$169-SUM(AA$86:AA134)</f>
        <v>1900403213.4400001</v>
      </c>
      <c r="I217" s="259">
        <f>I$169-SUM(AB$86:AB134)</f>
        <v>896608514.85000002</v>
      </c>
      <c r="J217" s="259">
        <f>J$169-SUM(AC$86:AC134)</f>
        <v>601259723.97000003</v>
      </c>
      <c r="K217" s="259">
        <f>K$169-SUM(AD$86:AD134)</f>
        <v>0</v>
      </c>
      <c r="L217" s="681">
        <f>L$169-SUM(AE$86:AE134)-74183020.17</f>
        <v>0</v>
      </c>
      <c r="M217" s="681">
        <f>M$169-SUM(AF$86:AF134)-10597574.31</f>
        <v>0</v>
      </c>
      <c r="N217" s="681">
        <f>N$169-SUM(AG$86:AG134)</f>
        <v>0</v>
      </c>
      <c r="O217" s="681">
        <f>O$169-SUM(AH$86:AH134)-50391465.84</f>
        <v>0</v>
      </c>
      <c r="P217" s="681">
        <f>P$169-SUM(AI$86:AI134)-21195148.62</f>
        <v>0</v>
      </c>
      <c r="Q217" s="681">
        <f>Q$169-SUM(AJ$86:AJ134)-23844542.2</f>
        <v>0</v>
      </c>
      <c r="R217" s="681">
        <f>R$169-SUM(AK$86:AK134)-101153846.78</f>
        <v>0</v>
      </c>
      <c r="S217" s="681">
        <f>S$169-SUM(AL$86:AL134)-11657331.74</f>
        <v>0</v>
      </c>
      <c r="T217" s="682">
        <f t="shared" si="177"/>
        <v>3398271452.2700005</v>
      </c>
    </row>
    <row r="218" spans="1:20">
      <c r="A218" s="75">
        <v>40714</v>
      </c>
      <c r="B218" s="75"/>
      <c r="C218" s="258">
        <f>$C$169-SUM($V$86:V135)</f>
        <v>9.9999904632568359E-3</v>
      </c>
      <c r="D218" s="259">
        <f>D$169-SUM(W$86:W135)</f>
        <v>9.9999308586120605E-3</v>
      </c>
      <c r="E218" s="259">
        <f>E$169-SUM(X$86:X135)</f>
        <v>-9.9999904632568359E-3</v>
      </c>
      <c r="F218" s="259">
        <f>F$169-SUM(Y$86:Y135)</f>
        <v>0</v>
      </c>
      <c r="G218" s="259">
        <f>G$169-SUM(Z$86:Z135)</f>
        <v>0</v>
      </c>
      <c r="H218" s="259">
        <f>H$169-SUM(AA$86:AA135)</f>
        <v>1900403213.4400001</v>
      </c>
      <c r="I218" s="259">
        <f>I$169-SUM(AB$86:AB135)</f>
        <v>896608514.85000002</v>
      </c>
      <c r="J218" s="259">
        <f>J$169-SUM(AC$86:AC135)</f>
        <v>601259723.97000003</v>
      </c>
      <c r="K218" s="259">
        <f>K$169-SUM(AD$86:AD135)</f>
        <v>0</v>
      </c>
      <c r="L218" s="681">
        <f>L$169-SUM(AE$86:AE135)-74183020.17</f>
        <v>0</v>
      </c>
      <c r="M218" s="681">
        <f>M$169-SUM(AF$86:AF135)-10597574.31</f>
        <v>0</v>
      </c>
      <c r="N218" s="681">
        <f>N$169-SUM(AG$86:AG135)</f>
        <v>0</v>
      </c>
      <c r="O218" s="681">
        <f>O$169-SUM(AH$86:AH135)-50391465.84</f>
        <v>0</v>
      </c>
      <c r="P218" s="681">
        <f>P$169-SUM(AI$86:AI135)-21195148.62</f>
        <v>0</v>
      </c>
      <c r="Q218" s="681">
        <f>Q$169-SUM(AJ$86:AJ135)-23844542.2</f>
        <v>0</v>
      </c>
      <c r="R218" s="681">
        <f>R$169-SUM(AK$86:AK135)-101153846.78</f>
        <v>0</v>
      </c>
      <c r="S218" s="681">
        <f>S$169-SUM(AL$86:AL135)-11657331.74</f>
        <v>0</v>
      </c>
      <c r="T218" s="682">
        <f t="shared" si="177"/>
        <v>3398271452.2700005</v>
      </c>
    </row>
    <row r="219" spans="1:20">
      <c r="A219" s="75">
        <v>40744</v>
      </c>
      <c r="B219" s="75"/>
      <c r="C219" s="258">
        <f>$C$169-SUM($V$86:V136)</f>
        <v>9.9999904632568359E-3</v>
      </c>
      <c r="D219" s="259">
        <f>D$169-SUM(W$86:W136)</f>
        <v>9.9999308586120605E-3</v>
      </c>
      <c r="E219" s="259">
        <f>E$169-SUM(X$86:X136)</f>
        <v>-9.9999904632568359E-3</v>
      </c>
      <c r="F219" s="259">
        <f>F$169-SUM(Y$86:Y136)</f>
        <v>0</v>
      </c>
      <c r="G219" s="259">
        <f>G$169-SUM(Z$86:Z136)</f>
        <v>0</v>
      </c>
      <c r="H219" s="259">
        <f>H$169-SUM(AA$86:AA136)</f>
        <v>1900403213.4400001</v>
      </c>
      <c r="I219" s="259">
        <f>I$169-SUM(AB$86:AB136)</f>
        <v>896608514.85000002</v>
      </c>
      <c r="J219" s="259">
        <f>J$169-SUM(AC$86:AC136)</f>
        <v>601259723.97000003</v>
      </c>
      <c r="K219" s="259">
        <f>K$169-SUM(AD$86:AD136)</f>
        <v>0</v>
      </c>
      <c r="L219" s="681">
        <f>L$169-SUM(AE$86:AE136)-74183020.17</f>
        <v>0</v>
      </c>
      <c r="M219" s="681">
        <f>M$169-SUM(AF$86:AF136)-10597574.31</f>
        <v>0</v>
      </c>
      <c r="N219" s="681">
        <f>N$169-SUM(AG$86:AG136)</f>
        <v>0</v>
      </c>
      <c r="O219" s="681">
        <f>O$169-SUM(AH$86:AH136)-50391465.84</f>
        <v>0</v>
      </c>
      <c r="P219" s="681">
        <f>P$169-SUM(AI$86:AI136)-21195148.62</f>
        <v>0</v>
      </c>
      <c r="Q219" s="681">
        <f>Q$169-SUM(AJ$86:AJ136)-23844542.2</f>
        <v>0</v>
      </c>
      <c r="R219" s="681">
        <f>R$169-SUM(AK$86:AK136)-101153846.78</f>
        <v>0</v>
      </c>
      <c r="S219" s="681">
        <f>S$169-SUM(AL$86:AL136)-11657331.74</f>
        <v>0</v>
      </c>
      <c r="T219" s="682">
        <f t="shared" si="177"/>
        <v>3398271452.2700005</v>
      </c>
    </row>
    <row r="220" spans="1:20">
      <c r="A220" s="75">
        <v>40777</v>
      </c>
      <c r="B220" s="75"/>
      <c r="C220" s="258">
        <f>$C$169-SUM($V$86:V137)</f>
        <v>9.9999904632568359E-3</v>
      </c>
      <c r="D220" s="259">
        <f>D$169-SUM(W$86:W137)</f>
        <v>9.9999308586120605E-3</v>
      </c>
      <c r="E220" s="259">
        <f>E$169-SUM(X$86:X137)</f>
        <v>-9.9999904632568359E-3</v>
      </c>
      <c r="F220" s="259">
        <f>F$169-SUM(Y$86:Y137)</f>
        <v>0</v>
      </c>
      <c r="G220" s="259">
        <f>G$169-SUM(Z$86:Z137)</f>
        <v>0</v>
      </c>
      <c r="H220" s="259">
        <f>H$169-SUM(AA$86:AA137)</f>
        <v>1779001450.7</v>
      </c>
      <c r="I220" s="259">
        <f>I$169-SUM(AB$86:AB137)</f>
        <v>839331273.14999998</v>
      </c>
      <c r="J220" s="259">
        <f>J$169-SUM(AC$86:AC137)</f>
        <v>562849985.52999997</v>
      </c>
      <c r="K220" s="259">
        <f>K$169-SUM(AD$86:AD137)</f>
        <v>0</v>
      </c>
      <c r="L220" s="681">
        <f>L$169-SUM(AE$86:AE137)-74183020.17</f>
        <v>0</v>
      </c>
      <c r="M220" s="681">
        <f>M$169-SUM(AF$86:AF137)-10597574.31</f>
        <v>0</v>
      </c>
      <c r="N220" s="681">
        <f>N$169-SUM(AG$86:AG137)</f>
        <v>0</v>
      </c>
      <c r="O220" s="681">
        <f>O$169-SUM(AH$86:AH137)-50391465.84</f>
        <v>0</v>
      </c>
      <c r="P220" s="681">
        <f>P$169-SUM(AI$86:AI137)-21195148.62</f>
        <v>0</v>
      </c>
      <c r="Q220" s="681">
        <f>Q$169-SUM(AJ$86:AJ137)-23844542.2</f>
        <v>0</v>
      </c>
      <c r="R220" s="681">
        <f>R$169-SUM(AK$86:AK137)-101153846.78</f>
        <v>0</v>
      </c>
      <c r="S220" s="681">
        <f>S$169-SUM(AL$86:AL137)-11657331.74</f>
        <v>0</v>
      </c>
      <c r="T220" s="682">
        <f t="shared" si="177"/>
        <v>3181182709.3900003</v>
      </c>
    </row>
    <row r="221" spans="1:20">
      <c r="A221" s="75">
        <v>40806</v>
      </c>
      <c r="B221" s="75"/>
      <c r="C221" s="258">
        <f>$C$169-SUM($V$86:V138)</f>
        <v>9.9999904632568359E-3</v>
      </c>
      <c r="D221" s="259">
        <f>D$169-SUM(W$86:W138)</f>
        <v>9.9999308586120605E-3</v>
      </c>
      <c r="E221" s="259">
        <f>E$169-SUM(X$86:X138)</f>
        <v>-9.9999904632568359E-3</v>
      </c>
      <c r="F221" s="259">
        <f>F$169-SUM(Y$86:Y138)</f>
        <v>0</v>
      </c>
      <c r="G221" s="259">
        <f>G$169-SUM(Z$86:Z138)</f>
        <v>0</v>
      </c>
      <c r="H221" s="259">
        <f>H$169-SUM(AA$86:AA138)</f>
        <v>1779001450.7</v>
      </c>
      <c r="I221" s="259">
        <f>I$169-SUM(AB$86:AB138)</f>
        <v>839331273.14999998</v>
      </c>
      <c r="J221" s="259">
        <f>J$169-SUM(AC$86:AC138)</f>
        <v>562849985.52999997</v>
      </c>
      <c r="K221" s="259">
        <f>K$169-SUM(AD$86:AD138)</f>
        <v>0</v>
      </c>
      <c r="L221" s="681">
        <f>L$169-SUM(AE$86:AE138)-74183020.17</f>
        <v>0</v>
      </c>
      <c r="M221" s="681">
        <f>M$169-SUM(AF$86:AF138)-10597574.31</f>
        <v>0</v>
      </c>
      <c r="N221" s="681">
        <f>N$169-SUM(AG$86:AG138)</f>
        <v>0</v>
      </c>
      <c r="O221" s="681">
        <f>O$169-SUM(AH$86:AH138)-50391465.84</f>
        <v>0</v>
      </c>
      <c r="P221" s="681">
        <f>P$169-SUM(AI$86:AI138)-21195148.62</f>
        <v>0</v>
      </c>
      <c r="Q221" s="681">
        <f>Q$169-SUM(AJ$86:AJ138)-23844542.2</f>
        <v>0</v>
      </c>
      <c r="R221" s="681">
        <f>R$169-SUM(AK$86:AK138)-101153846.78</f>
        <v>0</v>
      </c>
      <c r="S221" s="681">
        <f>S$169-SUM(AL$86:AL138)-11657331.74</f>
        <v>0</v>
      </c>
      <c r="T221" s="682">
        <f t="shared" si="177"/>
        <v>3181182709.3900003</v>
      </c>
    </row>
    <row r="222" spans="1:20">
      <c r="A222" s="75">
        <v>40836</v>
      </c>
      <c r="B222" s="75"/>
      <c r="C222" s="258">
        <f>$C$169-SUM($V$86:V139)</f>
        <v>9.9999904632568359E-3</v>
      </c>
      <c r="D222" s="259">
        <f>D$169-SUM(W$86:W139)</f>
        <v>9.9999308586120605E-3</v>
      </c>
      <c r="E222" s="259">
        <f>E$169-SUM(X$86:X139)</f>
        <v>-9.9999904632568359E-3</v>
      </c>
      <c r="F222" s="259">
        <f>F$169-SUM(Y$86:Y139)</f>
        <v>0</v>
      </c>
      <c r="G222" s="259">
        <f>G$169-SUM(Z$86:Z139)</f>
        <v>0</v>
      </c>
      <c r="H222" s="259">
        <f>H$169-SUM(AA$86:AA139)</f>
        <v>1779001450.7</v>
      </c>
      <c r="I222" s="259">
        <f>I$169-SUM(AB$86:AB139)</f>
        <v>839331273.14999998</v>
      </c>
      <c r="J222" s="259">
        <f>J$169-SUM(AC$86:AC139)</f>
        <v>562849985.52999997</v>
      </c>
      <c r="K222" s="259">
        <f>K$169-SUM(AD$86:AD139)</f>
        <v>0</v>
      </c>
      <c r="L222" s="681">
        <f>L$169-SUM(AE$86:AE139)-74183020.17</f>
        <v>0</v>
      </c>
      <c r="M222" s="681">
        <f>M$169-SUM(AF$86:AF139)-10597574.31</f>
        <v>0</v>
      </c>
      <c r="N222" s="681">
        <f>N$169-SUM(AG$86:AG139)</f>
        <v>0</v>
      </c>
      <c r="O222" s="681">
        <f>O$169-SUM(AH$86:AH139)-50391465.84</f>
        <v>0</v>
      </c>
      <c r="P222" s="681">
        <f>P$169-SUM(AI$86:AI139)-21195148.62</f>
        <v>0</v>
      </c>
      <c r="Q222" s="681">
        <f>Q$169-SUM(AJ$86:AJ139)-23844542.2</f>
        <v>0</v>
      </c>
      <c r="R222" s="681">
        <f>R$169-SUM(AK$86:AK139)-101153846.78</f>
        <v>0</v>
      </c>
      <c r="S222" s="681">
        <f>S$169-SUM(AL$86:AL139)-11657331.74</f>
        <v>0</v>
      </c>
      <c r="T222" s="682">
        <f t="shared" si="177"/>
        <v>3181182709.3900003</v>
      </c>
    </row>
    <row r="223" spans="1:20">
      <c r="A223" s="75">
        <v>40868</v>
      </c>
      <c r="B223" s="75"/>
      <c r="C223" s="258">
        <f>$C$169-SUM($V$86:V140)</f>
        <v>9.9999904632568359E-3</v>
      </c>
      <c r="D223" s="259">
        <f>D$169-SUM(W$86:W140)</f>
        <v>9.9999308586120605E-3</v>
      </c>
      <c r="E223" s="259">
        <f>E$169-SUM(X$86:X140)</f>
        <v>-9.9999904632568359E-3</v>
      </c>
      <c r="F223" s="259">
        <f>F$169-SUM(Y$86:Y140)</f>
        <v>0</v>
      </c>
      <c r="G223" s="259">
        <f>G$169-SUM(Z$86:Z140)</f>
        <v>0</v>
      </c>
      <c r="H223" s="259">
        <f>H$169-SUM(AA$86:AA140)</f>
        <v>1664186752.27</v>
      </c>
      <c r="I223" s="259">
        <f>I$169-SUM(AB$86:AB140)</f>
        <v>785161802.41999996</v>
      </c>
      <c r="J223" s="259">
        <f>J$169-SUM(AC$86:AC140)</f>
        <v>526524297.69999999</v>
      </c>
      <c r="K223" s="259">
        <f>K$169-SUM(AD$86:AD140)</f>
        <v>0</v>
      </c>
      <c r="L223" s="681">
        <f>L$169-SUM(AE$86:AE140)-74183020.17</f>
        <v>0</v>
      </c>
      <c r="M223" s="681">
        <f>M$169-SUM(AF$86:AF140)-10597574.31</f>
        <v>0</v>
      </c>
      <c r="N223" s="681">
        <f>N$169-SUM(AG$86:AG140)</f>
        <v>0</v>
      </c>
      <c r="O223" s="681">
        <f>O$169-SUM(AH$86:AH140)-50391465.84</f>
        <v>0</v>
      </c>
      <c r="P223" s="681">
        <f>P$169-SUM(AI$86:AI140)-21195148.62</f>
        <v>0</v>
      </c>
      <c r="Q223" s="681">
        <f>Q$169-SUM(AJ$86:AJ140)-23844542.2</f>
        <v>0</v>
      </c>
      <c r="R223" s="681">
        <f>R$169-SUM(AK$86:AK140)-101153846.78</f>
        <v>0</v>
      </c>
      <c r="S223" s="681">
        <f>S$169-SUM(AL$86:AL140)-11657331.74</f>
        <v>0</v>
      </c>
      <c r="T223" s="682">
        <f t="shared" si="177"/>
        <v>2975872852.3999996</v>
      </c>
    </row>
    <row r="224" spans="1:20">
      <c r="A224" s="75">
        <v>40897</v>
      </c>
      <c r="B224" s="75"/>
      <c r="C224" s="258">
        <f>$C$169-SUM($V$86:V141)</f>
        <v>9.9999904632568359E-3</v>
      </c>
      <c r="D224" s="259">
        <f>D$169-SUM(W$86:W141)</f>
        <v>9.9999308586120605E-3</v>
      </c>
      <c r="E224" s="259">
        <f>E$169-SUM(X$86:X141)</f>
        <v>-9.9999904632568359E-3</v>
      </c>
      <c r="F224" s="259">
        <f>F$169-SUM(Y$86:Y141)</f>
        <v>0</v>
      </c>
      <c r="G224" s="259">
        <f>G$169-SUM(Z$86:Z141)</f>
        <v>0</v>
      </c>
      <c r="H224" s="259">
        <f>H$169-SUM(AA$86:AA141)</f>
        <v>1664186752.27</v>
      </c>
      <c r="I224" s="259">
        <f>I$169-SUM(AB$86:AB141)</f>
        <v>785161802.41999996</v>
      </c>
      <c r="J224" s="259">
        <f>J$169-SUM(AC$86:AC141)</f>
        <v>526524297.69999999</v>
      </c>
      <c r="K224" s="259">
        <f>K$169-SUM(AD$86:AD141)</f>
        <v>0</v>
      </c>
      <c r="L224" s="681">
        <f>L$169-SUM(AE$86:AE141)-74183020.17</f>
        <v>0</v>
      </c>
      <c r="M224" s="681">
        <f>M$169-SUM(AF$86:AF141)-10597574.31</f>
        <v>0</v>
      </c>
      <c r="N224" s="681">
        <f>N$169-SUM(AG$86:AG141)</f>
        <v>0</v>
      </c>
      <c r="O224" s="681">
        <f>O$169-SUM(AH$86:AH141)-50391465.84</f>
        <v>0</v>
      </c>
      <c r="P224" s="681">
        <f>P$169-SUM(AI$86:AI141)-21195148.62</f>
        <v>0</v>
      </c>
      <c r="Q224" s="681">
        <f>Q$169-SUM(AJ$86:AJ141)-23844542.2</f>
        <v>0</v>
      </c>
      <c r="R224" s="681">
        <f>R$169-SUM(AK$86:AK141)-101153846.78</f>
        <v>0</v>
      </c>
      <c r="S224" s="681">
        <f>S$169-SUM(AL$86:AL141)-11657331.74</f>
        <v>0</v>
      </c>
      <c r="T224" s="682">
        <f t="shared" si="177"/>
        <v>2975872852.3999996</v>
      </c>
    </row>
    <row r="225" spans="1:20">
      <c r="A225" s="75">
        <v>40928</v>
      </c>
      <c r="B225" s="75"/>
      <c r="C225" s="258">
        <f>$C$169-SUM($V$86:V142)</f>
        <v>9.9999904632568359E-3</v>
      </c>
      <c r="D225" s="259">
        <f>D$169-SUM(W$86:W142)</f>
        <v>9.9999308586120605E-3</v>
      </c>
      <c r="E225" s="259">
        <f>E$169-SUM(X$86:X142)</f>
        <v>-9.9999904632568359E-3</v>
      </c>
      <c r="F225" s="259">
        <f>F$169-SUM(Y$86:Y142)</f>
        <v>0</v>
      </c>
      <c r="G225" s="259">
        <f>G$169-SUM(Z$86:Z142)</f>
        <v>0</v>
      </c>
      <c r="H225" s="259">
        <f>H$169-SUM(AA$86:AA142)</f>
        <v>1664186752.27</v>
      </c>
      <c r="I225" s="259">
        <f>I$169-SUM(AB$86:AB142)</f>
        <v>785161802.41999996</v>
      </c>
      <c r="J225" s="259">
        <f>J$169-SUM(AC$86:AC142)</f>
        <v>526524297.69999999</v>
      </c>
      <c r="K225" s="259">
        <f>K$169-SUM(AD$86:AD142)</f>
        <v>0</v>
      </c>
      <c r="L225" s="681">
        <f>L$169-SUM(AE$86:AE142)-74183020.17</f>
        <v>0</v>
      </c>
      <c r="M225" s="681">
        <f>M$169-SUM(AF$86:AF142)-10597574.31</f>
        <v>0</v>
      </c>
      <c r="N225" s="681">
        <f>N$169-SUM(AG$86:AG142)</f>
        <v>0</v>
      </c>
      <c r="O225" s="681">
        <f>O$169-SUM(AH$86:AH142)-50391465.84</f>
        <v>0</v>
      </c>
      <c r="P225" s="681">
        <f>P$169-SUM(AI$86:AI142)-21195148.62</f>
        <v>0</v>
      </c>
      <c r="Q225" s="681">
        <f>Q$169-SUM(AJ$86:AJ142)-23844542.2</f>
        <v>0</v>
      </c>
      <c r="R225" s="681">
        <f>R$169-SUM(AK$86:AK142)-101153846.78</f>
        <v>0</v>
      </c>
      <c r="S225" s="681">
        <f>S$169-SUM(AL$86:AL142)-11657331.74</f>
        <v>0</v>
      </c>
      <c r="T225" s="682">
        <f t="shared" si="177"/>
        <v>2975872852.3999996</v>
      </c>
    </row>
    <row r="226" spans="1:20">
      <c r="A226" s="75">
        <v>40960</v>
      </c>
      <c r="B226" s="75"/>
      <c r="C226" s="258">
        <f>$C$169-SUM($V$86:V143)</f>
        <v>9.9999904632568359E-3</v>
      </c>
      <c r="D226" s="259">
        <f>D$169-SUM(W$86:W143)</f>
        <v>9.9999308586120605E-3</v>
      </c>
      <c r="E226" s="259">
        <f>E$169-SUM(X$86:X143)</f>
        <v>-9.9999904632568359E-3</v>
      </c>
      <c r="F226" s="259">
        <f>F$169-SUM(Y$86:Y143)</f>
        <v>0</v>
      </c>
      <c r="G226" s="259">
        <f>G$169-SUM(Z$86:Z143)</f>
        <v>0</v>
      </c>
      <c r="H226" s="259">
        <f>H$169-SUM(AA$86:AA143)</f>
        <v>1555601714.6399999</v>
      </c>
      <c r="I226" s="259">
        <f>I$169-SUM(AB$86:AB143)</f>
        <v>733931480.01999998</v>
      </c>
      <c r="J226" s="259">
        <f>J$169-SUM(AC$86:AC143)</f>
        <v>492169583.24000001</v>
      </c>
      <c r="K226" s="259">
        <f>K$169-SUM(AD$86:AD143)</f>
        <v>0</v>
      </c>
      <c r="L226" s="681">
        <f>L$169-SUM(AE$86:AE143)-74183020.17</f>
        <v>0</v>
      </c>
      <c r="M226" s="681">
        <f>M$169-SUM(AF$86:AF143)-10597574.31</f>
        <v>0</v>
      </c>
      <c r="N226" s="681">
        <f>N$169-SUM(AG$86:AG143)</f>
        <v>0</v>
      </c>
      <c r="O226" s="681">
        <f>O$169-SUM(AH$86:AH143)-50391465.84</f>
        <v>0</v>
      </c>
      <c r="P226" s="681">
        <f>P$169-SUM(AI$86:AI143)-21195148.62</f>
        <v>0</v>
      </c>
      <c r="Q226" s="681">
        <f>Q$169-SUM(AJ$86:AJ143)-23844542.2</f>
        <v>0</v>
      </c>
      <c r="R226" s="681">
        <f>R$169-SUM(AK$86:AK143)-101153846.78</f>
        <v>0</v>
      </c>
      <c r="S226" s="681">
        <f>S$169-SUM(AL$86:AL143)-11657331.74</f>
        <v>0</v>
      </c>
      <c r="T226" s="682">
        <f t="shared" si="177"/>
        <v>2781702777.9099998</v>
      </c>
    </row>
    <row r="227" spans="1:20">
      <c r="A227" s="75">
        <v>40988</v>
      </c>
      <c r="B227" s="75"/>
      <c r="C227" s="258">
        <f>$C$169-SUM($V$86:V144)</f>
        <v>9.9999904632568359E-3</v>
      </c>
      <c r="D227" s="259">
        <f>D$169-SUM(W$86:W144)</f>
        <v>9.9999308586120605E-3</v>
      </c>
      <c r="E227" s="259">
        <f>E$169-SUM(X$86:X144)</f>
        <v>-9.9999904632568359E-3</v>
      </c>
      <c r="F227" s="259">
        <f>F$169-SUM(Y$86:Y144)</f>
        <v>0</v>
      </c>
      <c r="G227" s="259">
        <f>G$169-SUM(Z$86:Z144)</f>
        <v>0</v>
      </c>
      <c r="H227" s="259">
        <f>H$169-SUM(AA$86:AA144)</f>
        <v>1555601714.6399999</v>
      </c>
      <c r="I227" s="259">
        <f>I$169-SUM(AB$86:AB144)</f>
        <v>733931480.01999998</v>
      </c>
      <c r="J227" s="259">
        <f>J$169-SUM(AC$86:AC144)</f>
        <v>492169583.24000001</v>
      </c>
      <c r="K227" s="259">
        <f>K$169-SUM(AD$86:AD144)</f>
        <v>0</v>
      </c>
      <c r="L227" s="681">
        <f>L$169-SUM(AE$86:AE144)-74183020.17</f>
        <v>0</v>
      </c>
      <c r="M227" s="681">
        <f>M$169-SUM(AF$86:AF144)-10597574.31</f>
        <v>0</v>
      </c>
      <c r="N227" s="681">
        <f>N$169-SUM(AG$86:AG144)</f>
        <v>0</v>
      </c>
      <c r="O227" s="681">
        <f>O$169-SUM(AH$86:AH144)-50391465.84</f>
        <v>0</v>
      </c>
      <c r="P227" s="681">
        <f>P$169-SUM(AI$86:AI144)-21195148.62</f>
        <v>0</v>
      </c>
      <c r="Q227" s="681">
        <f>Q$169-SUM(AJ$86:AJ144)-23844542.2</f>
        <v>0</v>
      </c>
      <c r="R227" s="681">
        <f>R$169-SUM(AK$86:AK144)-101153846.78</f>
        <v>0</v>
      </c>
      <c r="S227" s="681">
        <f>S$169-SUM(AL$86:AL144)-11657331.74</f>
        <v>0</v>
      </c>
      <c r="T227" s="682">
        <f t="shared" si="177"/>
        <v>2781702777.9099998</v>
      </c>
    </row>
    <row r="228" spans="1:20">
      <c r="A228" s="75">
        <v>41019</v>
      </c>
      <c r="B228" s="75"/>
      <c r="C228" s="258">
        <f>$C$169-SUM($V$86:V145)</f>
        <v>9.9999904632568359E-3</v>
      </c>
      <c r="D228" s="259">
        <f>D$169-SUM(W$86:W145)</f>
        <v>9.9999308586120605E-3</v>
      </c>
      <c r="E228" s="259">
        <f>E$169-SUM(X$86:X145)</f>
        <v>-9.9999904632568359E-3</v>
      </c>
      <c r="F228" s="259">
        <f>F$169-SUM(Y$86:Y145)</f>
        <v>0</v>
      </c>
      <c r="G228" s="259">
        <f>G$169-SUM(Z$86:Z145)</f>
        <v>0</v>
      </c>
      <c r="H228" s="259">
        <f>H$169-SUM(AA$86:AA145)</f>
        <v>1555601714.6399999</v>
      </c>
      <c r="I228" s="259">
        <f>I$169-SUM(AB$86:AB145)</f>
        <v>733931480.01999998</v>
      </c>
      <c r="J228" s="259">
        <f>J$169-SUM(AC$86:AC145)</f>
        <v>492169583.24000001</v>
      </c>
      <c r="K228" s="259">
        <f>K$169-SUM(AD$86:AD145)</f>
        <v>0</v>
      </c>
      <c r="L228" s="681">
        <f>L$169-SUM(AE$86:AE145)-74183020.17</f>
        <v>0</v>
      </c>
      <c r="M228" s="681">
        <f>M$169-SUM(AF$86:AF145)-10597574.31</f>
        <v>0</v>
      </c>
      <c r="N228" s="681">
        <f>N$169-SUM(AG$86:AG145)</f>
        <v>0</v>
      </c>
      <c r="O228" s="681">
        <f>O$169-SUM(AH$86:AH145)-50391465.84</f>
        <v>0</v>
      </c>
      <c r="P228" s="681">
        <f>P$169-SUM(AI$86:AI145)-21195148.62</f>
        <v>0</v>
      </c>
      <c r="Q228" s="681">
        <f>Q$169-SUM(AJ$86:AJ145)-23844542.2</f>
        <v>0</v>
      </c>
      <c r="R228" s="681">
        <f>R$169-SUM(AK$86:AK145)-101153846.78</f>
        <v>0</v>
      </c>
      <c r="S228" s="681">
        <f>S$169-SUM(AL$86:AL145)-11657331.74</f>
        <v>0</v>
      </c>
      <c r="T228" s="682">
        <f t="shared" si="177"/>
        <v>2781702777.9099998</v>
      </c>
    </row>
    <row r="229" spans="1:20">
      <c r="A229" s="75">
        <v>41050</v>
      </c>
      <c r="B229" s="75"/>
      <c r="C229" s="258">
        <f>$C$169-SUM($V$86:V146)</f>
        <v>9.9999904632568359E-3</v>
      </c>
      <c r="D229" s="259">
        <f>D$169-SUM(W$86:W146)</f>
        <v>9.9999308586120605E-3</v>
      </c>
      <c r="E229" s="259">
        <f>E$169-SUM(X$86:X146)</f>
        <v>-9.9999904632568359E-3</v>
      </c>
      <c r="F229" s="259">
        <f>F$169-SUM(Y$86:Y146)</f>
        <v>0</v>
      </c>
      <c r="G229" s="259">
        <f>G$169-SUM(Z$86:Z146)</f>
        <v>0</v>
      </c>
      <c r="H229" s="1266">
        <f>H$169-SUM(AA$86:AA146)-1452908326.44</f>
        <v>0</v>
      </c>
      <c r="I229" s="1261">
        <f>I$169-SUM(AB$86:AB146)-685480832.48</f>
        <v>0</v>
      </c>
      <c r="J229" s="1261">
        <f>J$169-SUM(AC$86:AC146)-459678900.31</f>
        <v>0</v>
      </c>
      <c r="K229" s="259">
        <f>K$169-SUM(AD$86:AD146)</f>
        <v>0</v>
      </c>
      <c r="L229" s="681">
        <f>L$169-SUM(AE$86:AE146)-74183020.17</f>
        <v>0</v>
      </c>
      <c r="M229" s="681">
        <f>M$169-SUM(AF$86:AF146)-10597574.31</f>
        <v>0</v>
      </c>
      <c r="N229" s="681">
        <f>N$169-SUM(AG$86:AG146)</f>
        <v>0</v>
      </c>
      <c r="O229" s="681">
        <f>O$169-SUM(AH$86:AH146)-50391465.84</f>
        <v>0</v>
      </c>
      <c r="P229" s="681">
        <f>P$169-SUM(AI$86:AI146)-21195148.62</f>
        <v>0</v>
      </c>
      <c r="Q229" s="681">
        <f>Q$169-SUM(AJ$86:AJ146)-23844542.2</f>
        <v>0</v>
      </c>
      <c r="R229" s="681">
        <f>R$169-SUM(AK$86:AK146)-101153846.78</f>
        <v>0</v>
      </c>
      <c r="S229" s="681">
        <f>S$169-SUM(AL$86:AL146)-11657331.74</f>
        <v>0</v>
      </c>
      <c r="T229" s="682">
        <f t="shared" si="177"/>
        <v>9.9999308586120605E-3</v>
      </c>
    </row>
    <row r="230" spans="1:20">
      <c r="A230" s="75">
        <v>41080</v>
      </c>
      <c r="B230" s="75"/>
      <c r="C230" s="258">
        <f>$C$169-SUM($V$86:V147)</f>
        <v>9.9999904632568359E-3</v>
      </c>
      <c r="D230" s="259">
        <f>D$169-SUM(W$86:W147)</f>
        <v>9.9999308586120605E-3</v>
      </c>
      <c r="E230" s="259">
        <f>E$169-SUM(X$86:X147)</f>
        <v>-9.9999904632568359E-3</v>
      </c>
      <c r="F230" s="259">
        <f>F$169-SUM(Y$86:Y147)</f>
        <v>0</v>
      </c>
      <c r="G230" s="259">
        <f>G$169-SUM(Z$86:Z147)</f>
        <v>0</v>
      </c>
      <c r="H230" s="1266">
        <f>H$169-SUM(AA$86:AA147)-1452908326.44</f>
        <v>0</v>
      </c>
      <c r="I230" s="1261">
        <f>I$169-SUM(AB$86:AB147)-685480832.48</f>
        <v>0</v>
      </c>
      <c r="J230" s="1261">
        <f>J$169-SUM(AC$86:AC147)-459678900.31</f>
        <v>0</v>
      </c>
      <c r="K230" s="259">
        <f>K$169-SUM(AD$86:AD147)</f>
        <v>0</v>
      </c>
      <c r="L230" s="681">
        <f>L$169-SUM(AE$86:AE147)-74183020.17</f>
        <v>0</v>
      </c>
      <c r="M230" s="681">
        <f>M$169-SUM(AF$86:AF147)-10597574.31</f>
        <v>0</v>
      </c>
      <c r="N230" s="681">
        <f>N$169-SUM(AG$86:AG147)</f>
        <v>0</v>
      </c>
      <c r="O230" s="681">
        <f>O$169-SUM(AH$86:AH147)-50391465.84</f>
        <v>0</v>
      </c>
      <c r="P230" s="681">
        <f>P$169-SUM(AI$86:AI147)-21195148.62</f>
        <v>0</v>
      </c>
      <c r="Q230" s="681">
        <f>Q$169-SUM(AJ$86:AJ147)-23844542.2</f>
        <v>0</v>
      </c>
      <c r="R230" s="681">
        <f>R$169-SUM(AK$86:AK147)-101153846.78</f>
        <v>0</v>
      </c>
      <c r="S230" s="681">
        <f>S$169-SUM(AL$86:AL147)-11657331.74</f>
        <v>0</v>
      </c>
      <c r="T230" s="682">
        <f t="shared" si="177"/>
        <v>9.9999308586120605E-3</v>
      </c>
    </row>
    <row r="231" spans="1:20">
      <c r="A231" s="75">
        <v>41110</v>
      </c>
      <c r="B231" s="75"/>
      <c r="C231" s="258">
        <f>$C$169-SUM($V$86:V148)</f>
        <v>9.9999904632568359E-3</v>
      </c>
      <c r="D231" s="259">
        <f>D$169-SUM(W$86:W148)</f>
        <v>9.9999308586120605E-3</v>
      </c>
      <c r="E231" s="259">
        <f>E$169-SUM(X$86:X148)</f>
        <v>-9.9999904632568359E-3</v>
      </c>
      <c r="F231" s="259">
        <f>F$169-SUM(Y$86:Y148)</f>
        <v>0</v>
      </c>
      <c r="G231" s="259">
        <f>G$169-SUM(Z$86:Z148)</f>
        <v>0</v>
      </c>
      <c r="H231" s="1266">
        <f>H$169-SUM(AA$86:AA148)-1452908326.44</f>
        <v>0</v>
      </c>
      <c r="I231" s="1261">
        <f>I$169-SUM(AB$86:AB148)-685480832.48</f>
        <v>0</v>
      </c>
      <c r="J231" s="1261">
        <f>J$169-SUM(AC$86:AC148)-459678900.31</f>
        <v>0</v>
      </c>
      <c r="K231" s="259">
        <f>K$169-SUM(AD$86:AD148)</f>
        <v>0</v>
      </c>
      <c r="L231" s="681">
        <f>L$169-SUM(AE$86:AE148)-74183020.17</f>
        <v>0</v>
      </c>
      <c r="M231" s="681">
        <f>M$169-SUM(AF$86:AF148)-10597574.31</f>
        <v>0</v>
      </c>
      <c r="N231" s="681">
        <f>N$169-SUM(AG$86:AG148)</f>
        <v>0</v>
      </c>
      <c r="O231" s="681">
        <f>O$169-SUM(AH$86:AH148)-50391465.84</f>
        <v>0</v>
      </c>
      <c r="P231" s="681">
        <f>P$169-SUM(AI$86:AI148)-21195148.62</f>
        <v>0</v>
      </c>
      <c r="Q231" s="681">
        <f>Q$169-SUM(AJ$86:AJ148)-23844542.2</f>
        <v>0</v>
      </c>
      <c r="R231" s="681">
        <f>R$169-SUM(AK$86:AK148)-101153846.78</f>
        <v>0</v>
      </c>
      <c r="S231" s="681">
        <f>S$169-SUM(AL$86:AL148)-11657331.74</f>
        <v>0</v>
      </c>
      <c r="T231" s="682">
        <f t="shared" si="177"/>
        <v>9.9999308586120605E-3</v>
      </c>
    </row>
    <row r="232" spans="1:20">
      <c r="A232" s="75">
        <v>41141</v>
      </c>
      <c r="B232" s="75"/>
      <c r="C232" s="258">
        <f>$C$169-SUM($V$86:V149)</f>
        <v>9.9999904632568359E-3</v>
      </c>
      <c r="D232" s="259">
        <f>D$169-SUM(W$86:W149)</f>
        <v>9.9999308586120605E-3</v>
      </c>
      <c r="E232" s="259">
        <f>E$169-SUM(X$86:X149)</f>
        <v>-9.9999904632568359E-3</v>
      </c>
      <c r="F232" s="259">
        <f>F$169-SUM(Y$86:Y149)</f>
        <v>0</v>
      </c>
      <c r="G232" s="259">
        <f>G$169-SUM(Z$86:Z149)</f>
        <v>0</v>
      </c>
      <c r="H232" s="1266">
        <f>H$169-SUM(AA$86:AA149)-1452908326.44</f>
        <v>0</v>
      </c>
      <c r="I232" s="1261">
        <f>I$169-SUM(AB$86:AB149)-685480832.48</f>
        <v>0</v>
      </c>
      <c r="J232" s="1261">
        <f>J$169-SUM(AC$86:AC149)-459678900.31</f>
        <v>0</v>
      </c>
      <c r="K232" s="259">
        <f>K$169-SUM(AD$86:AD149)</f>
        <v>0</v>
      </c>
      <c r="L232" s="681">
        <f>L$169-SUM(AE$86:AE149)-74183020.17</f>
        <v>0</v>
      </c>
      <c r="M232" s="681">
        <f>M$169-SUM(AF$86:AF149)-10597574.31</f>
        <v>0</v>
      </c>
      <c r="N232" s="681">
        <f>N$169-SUM(AG$86:AG149)</f>
        <v>0</v>
      </c>
      <c r="O232" s="681">
        <f>O$169-SUM(AH$86:AH149)-50391465.84</f>
        <v>0</v>
      </c>
      <c r="P232" s="681">
        <f>P$169-SUM(AI$86:AI149)-21195148.62</f>
        <v>0</v>
      </c>
      <c r="Q232" s="681">
        <f>Q$169-SUM(AJ$86:AJ149)-23844542.2</f>
        <v>0</v>
      </c>
      <c r="R232" s="681">
        <f>R$169-SUM(AK$86:AK149)-101153846.78</f>
        <v>0</v>
      </c>
      <c r="S232" s="681">
        <f>S$169-SUM(AL$86:AL149)-11657331.74</f>
        <v>0</v>
      </c>
      <c r="T232" s="682">
        <f t="shared" si="177"/>
        <v>9.9999308586120605E-3</v>
      </c>
    </row>
    <row r="233" spans="1:20">
      <c r="A233" s="75">
        <v>41172</v>
      </c>
      <c r="B233" s="75"/>
      <c r="C233" s="258">
        <f>$C$169-SUM($V$86:V150)</f>
        <v>9.9999904632568359E-3</v>
      </c>
      <c r="D233" s="259">
        <f>D$169-SUM(W$86:W150)</f>
        <v>9.9999308586120605E-3</v>
      </c>
      <c r="E233" s="259">
        <f>E$169-SUM(X$86:X150)</f>
        <v>-9.9999904632568359E-3</v>
      </c>
      <c r="F233" s="259">
        <f>F$169-SUM(Y$86:Y150)</f>
        <v>0</v>
      </c>
      <c r="G233" s="259">
        <f>G$169-SUM(Z$86:Z150)</f>
        <v>0</v>
      </c>
      <c r="H233" s="1266">
        <f>H$169-SUM(AA$86:AA150)-1452908326.44</f>
        <v>0</v>
      </c>
      <c r="I233" s="1261">
        <f>I$169-SUM(AB$86:AB150)-685480832.48</f>
        <v>0</v>
      </c>
      <c r="J233" s="1261">
        <f>J$169-SUM(AC$86:AC150)-459678900.31</f>
        <v>0</v>
      </c>
      <c r="K233" s="259">
        <f>K$169-SUM(AD$86:AD150)</f>
        <v>0</v>
      </c>
      <c r="L233" s="681">
        <f>L$169-SUM(AE$86:AE150)-74183020.17</f>
        <v>0</v>
      </c>
      <c r="M233" s="681">
        <f>M$169-SUM(AF$86:AF150)-10597574.31</f>
        <v>0</v>
      </c>
      <c r="N233" s="681">
        <f>N$169-SUM(AG$86:AG150)</f>
        <v>0</v>
      </c>
      <c r="O233" s="681">
        <f>O$169-SUM(AH$86:AH150)-50391465.84</f>
        <v>0</v>
      </c>
      <c r="P233" s="681">
        <f>P$169-SUM(AI$86:AI150)-21195148.62</f>
        <v>0</v>
      </c>
      <c r="Q233" s="681">
        <f>Q$169-SUM(AJ$86:AJ150)-23844542.2</f>
        <v>0</v>
      </c>
      <c r="R233" s="681">
        <f>R$169-SUM(AK$86:AK150)-101153846.78</f>
        <v>0</v>
      </c>
      <c r="S233" s="681">
        <f>S$169-SUM(AL$86:AL150)-11657331.74</f>
        <v>0</v>
      </c>
      <c r="T233" s="682">
        <f>SUM(C233:S233)</f>
        <v>9.9999308586120605E-3</v>
      </c>
    </row>
    <row r="234" spans="1:20">
      <c r="A234" s="75">
        <v>41202</v>
      </c>
      <c r="B234" s="75"/>
      <c r="C234" s="258">
        <f>$C$169-SUM($V$86:V151)</f>
        <v>9.9999904632568359E-3</v>
      </c>
      <c r="D234" s="259">
        <f>D$169-SUM(W$86:W151)</f>
        <v>9.9999308586120605E-3</v>
      </c>
      <c r="E234" s="259">
        <f>E$169-SUM(X$86:X151)</f>
        <v>-9.9999904632568359E-3</v>
      </c>
      <c r="F234" s="259">
        <f>F$169-SUM(Y$86:Y151)</f>
        <v>0</v>
      </c>
      <c r="G234" s="259">
        <f>G$169-SUM(Z$86:Z151)</f>
        <v>0</v>
      </c>
      <c r="H234" s="1266">
        <f>H$169-SUM(AA$86:AA151)-1452908326.44</f>
        <v>0</v>
      </c>
      <c r="I234" s="1261">
        <f>I$169-SUM(AB$86:AB151)-685480832.48</f>
        <v>0</v>
      </c>
      <c r="J234" s="1261">
        <f>J$169-SUM(AC$86:AC151)-459678900.31</f>
        <v>0</v>
      </c>
      <c r="K234" s="259">
        <f>K$169-SUM(AD$86:AD151)</f>
        <v>0</v>
      </c>
      <c r="L234" s="681">
        <f>L$169-SUM(AE$86:AE151)-74183020.17</f>
        <v>0</v>
      </c>
      <c r="M234" s="681">
        <f>M$169-SUM(AF$86:AF151)-10597574.31</f>
        <v>0</v>
      </c>
      <c r="N234" s="681">
        <f>N$169-SUM(AG$86:AG151)</f>
        <v>0</v>
      </c>
      <c r="O234" s="681">
        <f>O$169-SUM(AH$86:AH151)-50391465.84</f>
        <v>0</v>
      </c>
      <c r="P234" s="681">
        <f>P$169-SUM(AI$86:AI151)-21195148.62</f>
        <v>0</v>
      </c>
      <c r="Q234" s="681">
        <f>Q$169-SUM(AJ$86:AJ151)-23844542.2</f>
        <v>0</v>
      </c>
      <c r="R234" s="681">
        <f>R$169-SUM(AK$86:AK151)-101153846.78</f>
        <v>0</v>
      </c>
      <c r="S234" s="681">
        <f>S$169-SUM(AL$86:AL151)-11657331.74</f>
        <v>0</v>
      </c>
      <c r="T234" s="682">
        <f>SUM(C234:S234)</f>
        <v>9.9999308586120605E-3</v>
      </c>
    </row>
    <row r="235" spans="1:20">
      <c r="A235" s="75">
        <v>41233</v>
      </c>
      <c r="B235" s="75"/>
      <c r="C235" s="258">
        <f>$C$169-SUM($V$86:V152)</f>
        <v>9.9999904632568359E-3</v>
      </c>
      <c r="D235" s="259">
        <f>D$169-SUM(W$86:W152)</f>
        <v>9.9999308586120605E-3</v>
      </c>
      <c r="E235" s="259">
        <f>E$169-SUM(X$86:X152)</f>
        <v>-9.9999904632568359E-3</v>
      </c>
      <c r="F235" s="259">
        <f>F$169-SUM(Y$86:Y152)</f>
        <v>0</v>
      </c>
      <c r="G235" s="259">
        <f>G$169-SUM(Z$86:Z152)</f>
        <v>0</v>
      </c>
      <c r="H235" s="1266">
        <f>H$169-SUM(AA$86:AA152)-1452908326.44</f>
        <v>0</v>
      </c>
      <c r="I235" s="1261">
        <f>I$169-SUM(AB$86:AB152)-685480832.48</f>
        <v>0</v>
      </c>
      <c r="J235" s="1261">
        <f>J$169-SUM(AC$86:AC152)-459678900.31</f>
        <v>0</v>
      </c>
      <c r="K235" s="259">
        <f>K$169-SUM(AD$86:AD152)</f>
        <v>0</v>
      </c>
      <c r="L235" s="681">
        <f>L$169-SUM(AE$86:AE152)-74183020.17</f>
        <v>0</v>
      </c>
      <c r="M235" s="681">
        <f>M$169-SUM(AF$86:AF152)-10597574.31</f>
        <v>0</v>
      </c>
      <c r="N235" s="681">
        <f>N$169-SUM(AG$86:AG152)</f>
        <v>0</v>
      </c>
      <c r="O235" s="681">
        <f>O$169-SUM(AH$86:AH152)-50391465.84</f>
        <v>0</v>
      </c>
      <c r="P235" s="681">
        <f>P$169-SUM(AI$86:AI152)-21195148.62</f>
        <v>0</v>
      </c>
      <c r="Q235" s="681">
        <f>Q$169-SUM(AJ$86:AJ152)-23844542.2</f>
        <v>0</v>
      </c>
      <c r="R235" s="681">
        <f>R$169-SUM(AK$86:AK152)-101153846.78</f>
        <v>0</v>
      </c>
      <c r="S235" s="681">
        <f>S$169-SUM(AL$86:AL152)-11657331.74</f>
        <v>0</v>
      </c>
      <c r="T235" s="682">
        <f>SUM(C235:S235)</f>
        <v>9.9999308586120605E-3</v>
      </c>
    </row>
    <row r="236" spans="1:20">
      <c r="A236" s="75">
        <v>41263</v>
      </c>
      <c r="B236" s="75"/>
      <c r="C236" s="258">
        <f>$C$169-SUM($V$86:V153)</f>
        <v>9.9999904632568359E-3</v>
      </c>
      <c r="D236" s="259">
        <f>D$169-SUM(W$86:W153)</f>
        <v>9.9999308586120605E-3</v>
      </c>
      <c r="E236" s="259">
        <f>E$169-SUM(X$86:X153)</f>
        <v>-9.9999904632568359E-3</v>
      </c>
      <c r="F236" s="259">
        <f>F$169-SUM(Y$86:Y153)</f>
        <v>0</v>
      </c>
      <c r="G236" s="259">
        <f>G$169-SUM(Z$86:Z153)</f>
        <v>0</v>
      </c>
      <c r="H236" s="1266">
        <f>H$169-SUM(AA$86:AA153)-1452908326.44</f>
        <v>0</v>
      </c>
      <c r="I236" s="1261">
        <f>I$169-SUM(AB$86:AB153)-685480832.48</f>
        <v>0</v>
      </c>
      <c r="J236" s="1261">
        <f>J$169-SUM(AC$86:AC153)-459678900.31</f>
        <v>0</v>
      </c>
      <c r="K236" s="259">
        <f>K$169-SUM(AD$86:AD153)</f>
        <v>0</v>
      </c>
      <c r="L236" s="681">
        <f>L$169-SUM(AE$86:AE153)-74183020.17</f>
        <v>0</v>
      </c>
      <c r="M236" s="681">
        <f>M$169-SUM(AF$86:AF153)-10597574.31</f>
        <v>0</v>
      </c>
      <c r="N236" s="681">
        <f>N$169-SUM(AG$86:AG153)</f>
        <v>0</v>
      </c>
      <c r="O236" s="681">
        <f>O$169-SUM(AH$86:AH153)-50391465.84</f>
        <v>0</v>
      </c>
      <c r="P236" s="681">
        <f>P$169-SUM(AI$86:AI153)-21195148.62</f>
        <v>0</v>
      </c>
      <c r="Q236" s="681">
        <f>Q$169-SUM(AJ$86:AJ153)-23844542.2</f>
        <v>0</v>
      </c>
      <c r="R236" s="681">
        <f>R$169-SUM(AK$86:AK153)-101153846.78</f>
        <v>0</v>
      </c>
      <c r="S236" s="681">
        <f>S$169-SUM(AL$86:AL153)-11657331.74</f>
        <v>0</v>
      </c>
      <c r="T236" s="682">
        <f>SUM(C236:S236)</f>
        <v>9.9999308586120605E-3</v>
      </c>
    </row>
    <row r="237" spans="1:20">
      <c r="A237" s="205">
        <v>41294</v>
      </c>
      <c r="B237" s="75"/>
      <c r="C237" s="258">
        <f>$C$169-SUM($V$86:V154)</f>
        <v>9.9999904632568359E-3</v>
      </c>
      <c r="D237" s="259">
        <f>D$169-SUM(W$86:W154)</f>
        <v>9.9999308586120605E-3</v>
      </c>
      <c r="E237" s="259">
        <f>E$169-SUM(X$86:X154)</f>
        <v>-9.9999904632568359E-3</v>
      </c>
      <c r="F237" s="259">
        <f>F$169-SUM(Y$86:Y154)</f>
        <v>0</v>
      </c>
      <c r="G237" s="259">
        <f>G$169-SUM(Z$86:Z154)</f>
        <v>0</v>
      </c>
      <c r="H237" s="1266">
        <f>H$169-SUM(AA$86:AA154)-1452908326.44</f>
        <v>0</v>
      </c>
      <c r="I237" s="1261">
        <f>I$169-SUM(AB$86:AB154)-685480832.48</f>
        <v>0</v>
      </c>
      <c r="J237" s="1261">
        <f>J$169-SUM(AC$86:AC154)-459678900.31</f>
        <v>0</v>
      </c>
      <c r="K237" s="259">
        <f>K$169-SUM(AD$86:AD154)</f>
        <v>0</v>
      </c>
      <c r="L237" s="681">
        <f>L$169-SUM(AE$86:AE154)-74183020.17</f>
        <v>0</v>
      </c>
      <c r="M237" s="681">
        <f>M$169-SUM(AF$86:AF154)-10597574.31</f>
        <v>0</v>
      </c>
      <c r="N237" s="681">
        <f>N$169-SUM(AG$86:AG154)</f>
        <v>0</v>
      </c>
      <c r="O237" s="681">
        <f>O$169-SUM(AH$86:AH154)-50391465.84</f>
        <v>0</v>
      </c>
      <c r="P237" s="681">
        <f>P$169-SUM(AI$86:AI154)-21195148.62</f>
        <v>0</v>
      </c>
      <c r="Q237" s="681">
        <f>Q$169-SUM(AJ$86:AJ154)-23844542.2</f>
        <v>0</v>
      </c>
      <c r="R237" s="681">
        <f>R$169-SUM(AK$86:AK154)-101153846.78</f>
        <v>0</v>
      </c>
      <c r="S237" s="681">
        <f>S$169-SUM(AL$86:AL154)-11657331.74</f>
        <v>0</v>
      </c>
      <c r="T237" s="682">
        <f t="shared" ref="T237:T248" si="178">SUM(C237:S237)</f>
        <v>9.9999308586120605E-3</v>
      </c>
    </row>
    <row r="238" spans="1:20">
      <c r="A238" s="205">
        <v>41325</v>
      </c>
      <c r="B238" s="75"/>
      <c r="C238" s="258">
        <f>$C$169-SUM($V$86:V155)</f>
        <v>9.9999904632568359E-3</v>
      </c>
      <c r="D238" s="259">
        <f>D$169-SUM(W$86:W155)</f>
        <v>9.9999308586120605E-3</v>
      </c>
      <c r="E238" s="259">
        <f>E$169-SUM(X$86:X155)</f>
        <v>-9.9999904632568359E-3</v>
      </c>
      <c r="F238" s="259">
        <f>F$169-SUM(Y$86:Y155)</f>
        <v>0</v>
      </c>
      <c r="G238" s="259">
        <f>G$169-SUM(Z$86:Z155)</f>
        <v>0</v>
      </c>
      <c r="H238" s="1266">
        <f>H$169-SUM(AA$86:AA155)-1452908326.44</f>
        <v>0</v>
      </c>
      <c r="I238" s="1261">
        <f>I$169-SUM(AB$86:AB155)-685480832.48</f>
        <v>0</v>
      </c>
      <c r="J238" s="1261">
        <f>J$169-SUM(AC$86:AC155)-459678900.31</f>
        <v>0</v>
      </c>
      <c r="K238" s="259">
        <f>K$169-SUM(AD$86:AD155)</f>
        <v>0</v>
      </c>
      <c r="L238" s="681">
        <f>L$169-SUM(AE$86:AE155)-74183020.17</f>
        <v>0</v>
      </c>
      <c r="M238" s="681">
        <f>M$169-SUM(AF$86:AF155)-10597574.31</f>
        <v>0</v>
      </c>
      <c r="N238" s="681">
        <f>N$169-SUM(AG$86:AG155)</f>
        <v>0</v>
      </c>
      <c r="O238" s="681">
        <f>O$169-SUM(AH$86:AH155)-50391465.84</f>
        <v>0</v>
      </c>
      <c r="P238" s="681">
        <f>P$169-SUM(AI$86:AI155)-21195148.62</f>
        <v>0</v>
      </c>
      <c r="Q238" s="681">
        <f>Q$169-SUM(AJ$86:AJ155)-23844542.2</f>
        <v>0</v>
      </c>
      <c r="R238" s="681">
        <f>R$169-SUM(AK$86:AK155)-101153846.78</f>
        <v>0</v>
      </c>
      <c r="S238" s="681">
        <f>S$169-SUM(AL$86:AL155)-11657331.74</f>
        <v>0</v>
      </c>
      <c r="T238" s="682">
        <f t="shared" si="178"/>
        <v>9.9999308586120605E-3</v>
      </c>
    </row>
    <row r="239" spans="1:20">
      <c r="A239" s="205">
        <v>41353</v>
      </c>
      <c r="B239" s="75"/>
      <c r="C239" s="258">
        <f>$C$169-SUM($V$86:V156)</f>
        <v>9.9999904632568359E-3</v>
      </c>
      <c r="D239" s="259">
        <f>D$169-SUM(W$86:W156)</f>
        <v>9.9999308586120605E-3</v>
      </c>
      <c r="E239" s="259">
        <f>E$169-SUM(X$86:X156)</f>
        <v>-9.9999904632568359E-3</v>
      </c>
      <c r="F239" s="259">
        <f>F$169-SUM(Y$86:Y156)</f>
        <v>0</v>
      </c>
      <c r="G239" s="259">
        <f>G$169-SUM(Z$86:Z156)</f>
        <v>0</v>
      </c>
      <c r="H239" s="1266">
        <f>H$169-SUM(AA$86:AA156)-1452908326.44</f>
        <v>0</v>
      </c>
      <c r="I239" s="1261">
        <f>I$169-SUM(AB$86:AB156)-685480832.48</f>
        <v>0</v>
      </c>
      <c r="J239" s="1261">
        <f>J$169-SUM(AC$86:AC156)-459678900.31</f>
        <v>0</v>
      </c>
      <c r="K239" s="259">
        <f>K$169-SUM(AD$86:AD156)</f>
        <v>0</v>
      </c>
      <c r="L239" s="681">
        <f>L$169-SUM(AE$86:AE156)-74183020.17</f>
        <v>0</v>
      </c>
      <c r="M239" s="681">
        <f>M$169-SUM(AF$86:AF156)-10597574.31</f>
        <v>0</v>
      </c>
      <c r="N239" s="681">
        <f>N$169-SUM(AG$86:AG156)</f>
        <v>0</v>
      </c>
      <c r="O239" s="681">
        <f>O$169-SUM(AH$86:AH156)-50391465.84</f>
        <v>0</v>
      </c>
      <c r="P239" s="681">
        <f>P$169-SUM(AI$86:AI156)-21195148.62</f>
        <v>0</v>
      </c>
      <c r="Q239" s="681">
        <f>Q$169-SUM(AJ$86:AJ156)-23844542.2</f>
        <v>0</v>
      </c>
      <c r="R239" s="681">
        <f>R$169-SUM(AK$86:AK156)-101153846.78</f>
        <v>0</v>
      </c>
      <c r="S239" s="681">
        <f>S$169-SUM(AL$86:AL156)-11657331.74</f>
        <v>0</v>
      </c>
      <c r="T239" s="682">
        <f t="shared" si="178"/>
        <v>9.9999308586120605E-3</v>
      </c>
    </row>
    <row r="240" spans="1:20">
      <c r="A240" s="205">
        <v>41384</v>
      </c>
      <c r="B240" s="75"/>
      <c r="C240" s="258">
        <f>$C$169-SUM($V$86:V157)</f>
        <v>9.9999904632568359E-3</v>
      </c>
      <c r="D240" s="259">
        <f>D$169-SUM(W$86:W157)</f>
        <v>9.9999308586120605E-3</v>
      </c>
      <c r="E240" s="259">
        <f>E$169-SUM(X$86:X157)</f>
        <v>-9.9999904632568359E-3</v>
      </c>
      <c r="F240" s="259">
        <f>F$169-SUM(Y$86:Y157)</f>
        <v>0</v>
      </c>
      <c r="G240" s="259">
        <f>G$169-SUM(Z$86:Z157)</f>
        <v>0</v>
      </c>
      <c r="H240" s="1266">
        <f>H$169-SUM(AA$86:AA157)-1452908326.44</f>
        <v>0</v>
      </c>
      <c r="I240" s="1261">
        <f>I$169-SUM(AB$86:AB157)-685480832.48</f>
        <v>0</v>
      </c>
      <c r="J240" s="1261">
        <f>J$169-SUM(AC$86:AC157)-459678900.31</f>
        <v>0</v>
      </c>
      <c r="K240" s="259">
        <f>K$169-SUM(AD$86:AD157)</f>
        <v>0</v>
      </c>
      <c r="L240" s="681">
        <f>L$169-SUM(AE$86:AE157)-74183020.17</f>
        <v>0</v>
      </c>
      <c r="M240" s="681">
        <f>M$169-SUM(AF$86:AF157)-10597574.31</f>
        <v>0</v>
      </c>
      <c r="N240" s="681">
        <f>N$169-SUM(AG$86:AG157)</f>
        <v>0</v>
      </c>
      <c r="O240" s="681">
        <f>O$169-SUM(AH$86:AH157)-50391465.84</f>
        <v>0</v>
      </c>
      <c r="P240" s="681">
        <f>P$169-SUM(AI$86:AI157)-21195148.62</f>
        <v>0</v>
      </c>
      <c r="Q240" s="681">
        <f>Q$169-SUM(AJ$86:AJ157)-23844542.2</f>
        <v>0</v>
      </c>
      <c r="R240" s="681">
        <f>R$169-SUM(AK$86:AK157)-101153846.78</f>
        <v>0</v>
      </c>
      <c r="S240" s="681">
        <f>S$169-SUM(AL$86:AL157)-11657331.74</f>
        <v>0</v>
      </c>
      <c r="T240" s="682">
        <f t="shared" si="178"/>
        <v>9.9999308586120605E-3</v>
      </c>
    </row>
    <row r="241" spans="1:20">
      <c r="A241" s="740">
        <v>41414</v>
      </c>
      <c r="B241" s="75"/>
      <c r="C241" s="258">
        <f>$C$169-SUM($V$86:V158)</f>
        <v>9.9999904632568359E-3</v>
      </c>
      <c r="D241" s="259">
        <f>D$169-SUM(W$86:W158)</f>
        <v>9.9999308586120605E-3</v>
      </c>
      <c r="E241" s="259">
        <f>E$169-SUM(X$86:X158)</f>
        <v>-9.9999904632568359E-3</v>
      </c>
      <c r="F241" s="259">
        <f>F$169-SUM(Y$86:Y158)</f>
        <v>0</v>
      </c>
      <c r="G241" s="259">
        <f>G$169-SUM(Z$86:Z158)</f>
        <v>0</v>
      </c>
      <c r="H241" s="1266">
        <f>H$169-SUM(AA$86:AA158)-1452908326.44</f>
        <v>0</v>
      </c>
      <c r="I241" s="1261">
        <f>I$169-SUM(AB$86:AB158)-685480832.48</f>
        <v>0</v>
      </c>
      <c r="J241" s="1261">
        <f>J$169-SUM(AC$86:AC158)-459678900.31</f>
        <v>0</v>
      </c>
      <c r="K241" s="259">
        <f>K$169-SUM(AD$86:AD158)</f>
        <v>0</v>
      </c>
      <c r="L241" s="681">
        <f>L$169-SUM(AE$86:AE158)-74183020.17</f>
        <v>0</v>
      </c>
      <c r="M241" s="681">
        <f>M$169-SUM(AF$86:AF158)-10597574.31</f>
        <v>0</v>
      </c>
      <c r="N241" s="681">
        <f>N$169-SUM(AG$86:AG158)</f>
        <v>0</v>
      </c>
      <c r="O241" s="681">
        <f>O$169-SUM(AH$86:AH158)-50391465.84</f>
        <v>0</v>
      </c>
      <c r="P241" s="681">
        <f>P$169-SUM(AI$86:AI158)-21195148.62</f>
        <v>0</v>
      </c>
      <c r="Q241" s="681">
        <f>Q$169-SUM(AJ$86:AJ158)-23844542.2</f>
        <v>0</v>
      </c>
      <c r="R241" s="681">
        <f>R$169-SUM(AK$86:AK158)-101153846.78</f>
        <v>0</v>
      </c>
      <c r="S241" s="681">
        <f>S$169-SUM(AL$86:AL158)-11657331.74</f>
        <v>0</v>
      </c>
      <c r="T241" s="682">
        <f t="shared" si="178"/>
        <v>9.9999308586120605E-3</v>
      </c>
    </row>
    <row r="242" spans="1:20">
      <c r="A242" s="205">
        <v>41445</v>
      </c>
      <c r="B242" s="75"/>
      <c r="C242" s="258">
        <f>$C$169-SUM($V$86:V159)</f>
        <v>9.9999904632568359E-3</v>
      </c>
      <c r="D242" s="259">
        <f>D$169-SUM(W$86:W159)</f>
        <v>9.9999308586120605E-3</v>
      </c>
      <c r="E242" s="259">
        <f>E$169-SUM(X$86:X159)</f>
        <v>-9.9999904632568359E-3</v>
      </c>
      <c r="F242" s="259">
        <f>F$169-SUM(Y$86:Y159)</f>
        <v>0</v>
      </c>
      <c r="G242" s="259">
        <f>G$169-SUM(Z$86:Z159)</f>
        <v>0</v>
      </c>
      <c r="H242" s="1266">
        <f>H$169-SUM(AA$86:AA159)-1452908326.44</f>
        <v>0</v>
      </c>
      <c r="I242" s="1261">
        <f>I$169-SUM(AB$86:AB159)-685480832.48</f>
        <v>0</v>
      </c>
      <c r="J242" s="1261">
        <f>J$169-SUM(AC$86:AC159)-459678900.31</f>
        <v>0</v>
      </c>
      <c r="K242" s="259">
        <f>K$169-SUM(AD$86:AD159)</f>
        <v>0</v>
      </c>
      <c r="L242" s="681">
        <f>L$169-SUM(AE$86:AE159)-74183020.17</f>
        <v>0</v>
      </c>
      <c r="M242" s="681">
        <f>M$169-SUM(AF$86:AF159)-10597574.31</f>
        <v>0</v>
      </c>
      <c r="N242" s="681">
        <f>N$169-SUM(AG$86:AG159)</f>
        <v>0</v>
      </c>
      <c r="O242" s="681">
        <f>O$169-SUM(AH$86:AH159)-50391465.84</f>
        <v>0</v>
      </c>
      <c r="P242" s="681">
        <f>P$169-SUM(AI$86:AI159)-21195148.62</f>
        <v>0</v>
      </c>
      <c r="Q242" s="681">
        <f>Q$169-SUM(AJ$86:AJ159)-23844542.2</f>
        <v>0</v>
      </c>
      <c r="R242" s="681">
        <f>R$169-SUM(AK$86:AK159)-101153846.78</f>
        <v>0</v>
      </c>
      <c r="S242" s="681">
        <f>S$169-SUM(AL$86:AL159)-11657331.74</f>
        <v>0</v>
      </c>
      <c r="T242" s="682">
        <f t="shared" si="178"/>
        <v>9.9999308586120605E-3</v>
      </c>
    </row>
    <row r="243" spans="1:20">
      <c r="A243" s="205">
        <v>41475</v>
      </c>
      <c r="B243" s="75"/>
      <c r="C243" s="258">
        <f>$C$169-SUM($V$86:V160)</f>
        <v>9.9999904632568359E-3</v>
      </c>
      <c r="D243" s="259">
        <f>D$169-SUM(W$86:W160)</f>
        <v>9.9999308586120605E-3</v>
      </c>
      <c r="E243" s="259">
        <f>E$169-SUM(X$86:X160)</f>
        <v>-9.9999904632568359E-3</v>
      </c>
      <c r="F243" s="259">
        <f>F$169-SUM(Y$86:Y160)</f>
        <v>0</v>
      </c>
      <c r="G243" s="259">
        <f>G$169-SUM(Z$86:Z160)</f>
        <v>0</v>
      </c>
      <c r="H243" s="1266">
        <f>H$169-SUM(AA$86:AA160)-1452908326.44</f>
        <v>0</v>
      </c>
      <c r="I243" s="1261">
        <f>I$169-SUM(AB$86:AB160)-685480832.48</f>
        <v>0</v>
      </c>
      <c r="J243" s="1261">
        <f>J$169-SUM(AC$86:AC160)-459678900.31</f>
        <v>0</v>
      </c>
      <c r="K243" s="259">
        <f>K$169-SUM(AD$86:AD160)</f>
        <v>0</v>
      </c>
      <c r="L243" s="681">
        <f>L$169-SUM(AE$86:AE160)-74183020.17</f>
        <v>0</v>
      </c>
      <c r="M243" s="681">
        <f>M$169-SUM(AF$86:AF160)-10597574.31</f>
        <v>0</v>
      </c>
      <c r="N243" s="681">
        <f>N$169-SUM(AG$86:AG160)</f>
        <v>0</v>
      </c>
      <c r="O243" s="681">
        <f>O$169-SUM(AH$86:AH160)-50391465.84</f>
        <v>0</v>
      </c>
      <c r="P243" s="681">
        <f>P$169-SUM(AI$86:AI160)-21195148.62</f>
        <v>0</v>
      </c>
      <c r="Q243" s="681">
        <f>Q$169-SUM(AJ$86:AJ160)-23844542.2</f>
        <v>0</v>
      </c>
      <c r="R243" s="681">
        <f>R$169-SUM(AK$86:AK160)-101153846.78</f>
        <v>0</v>
      </c>
      <c r="S243" s="681">
        <f>S$169-SUM(AL$86:AL160)-11657331.74</f>
        <v>0</v>
      </c>
      <c r="T243" s="682">
        <f t="shared" si="178"/>
        <v>9.9999308586120605E-3</v>
      </c>
    </row>
    <row r="244" spans="1:20">
      <c r="A244" s="205">
        <v>41506</v>
      </c>
      <c r="B244" s="75"/>
      <c r="C244" s="258">
        <f>$C$169-SUM($V$86:V161)</f>
        <v>9.9999904632568359E-3</v>
      </c>
      <c r="D244" s="259">
        <f>D$169-SUM(W$86:W161)</f>
        <v>9.9999308586120605E-3</v>
      </c>
      <c r="E244" s="259">
        <f>E$169-SUM(X$86:X161)</f>
        <v>-9.9999904632568359E-3</v>
      </c>
      <c r="F244" s="259">
        <f>F$169-SUM(Y$86:Y161)</f>
        <v>0</v>
      </c>
      <c r="G244" s="259">
        <f>G$169-SUM(Z$86:Z161)</f>
        <v>0</v>
      </c>
      <c r="H244" s="1266">
        <f>H$169-SUM(AA$86:AA161)-1452908326.44</f>
        <v>0</v>
      </c>
      <c r="I244" s="1261">
        <f>I$169-SUM(AB$86:AB161)-685480832.48</f>
        <v>0</v>
      </c>
      <c r="J244" s="1261">
        <f>J$169-SUM(AC$86:AC161)-459678900.31</f>
        <v>0</v>
      </c>
      <c r="K244" s="259">
        <f>K$169-SUM(AD$86:AD161)</f>
        <v>0</v>
      </c>
      <c r="L244" s="681">
        <f>L$169-SUM(AE$86:AE161)-74183020.17</f>
        <v>0</v>
      </c>
      <c r="M244" s="681">
        <f>M$169-SUM(AF$86:AF161)-10597574.31</f>
        <v>0</v>
      </c>
      <c r="N244" s="681">
        <f>N$169-SUM(AG$86:AG161)</f>
        <v>0</v>
      </c>
      <c r="O244" s="681">
        <f>O$169-SUM(AH$86:AH161)-50391465.84</f>
        <v>0</v>
      </c>
      <c r="P244" s="681">
        <f>P$169-SUM(AI$86:AI161)-21195148.62</f>
        <v>0</v>
      </c>
      <c r="Q244" s="681">
        <f>Q$169-SUM(AJ$86:AJ161)-23844542.2</f>
        <v>0</v>
      </c>
      <c r="R244" s="681">
        <f>R$169-SUM(AK$86:AK161)-101153846.78</f>
        <v>0</v>
      </c>
      <c r="S244" s="681">
        <f>S$169-SUM(AL$86:AL161)-11657331.74</f>
        <v>0</v>
      </c>
      <c r="T244" s="682">
        <f t="shared" si="178"/>
        <v>9.9999308586120605E-3</v>
      </c>
    </row>
    <row r="245" spans="1:20">
      <c r="A245" s="205">
        <v>41537</v>
      </c>
      <c r="B245" s="75"/>
      <c r="C245" s="258">
        <f>$C$169-SUM($V$86:V162)</f>
        <v>9.9999904632568359E-3</v>
      </c>
      <c r="D245" s="259">
        <f>D$169-SUM(W$86:W162)</f>
        <v>9.9999308586120605E-3</v>
      </c>
      <c r="E245" s="259">
        <f>E$169-SUM(X$86:X162)</f>
        <v>-9.9999904632568359E-3</v>
      </c>
      <c r="F245" s="259">
        <f>F$169-SUM(Y$86:Y162)</f>
        <v>0</v>
      </c>
      <c r="G245" s="259">
        <f>G$169-SUM(Z$86:Z162)</f>
        <v>0</v>
      </c>
      <c r="H245" s="1266">
        <f>H$169-SUM(AA$86:AA162)-1452908326.44</f>
        <v>0</v>
      </c>
      <c r="I245" s="1261">
        <f>I$169-SUM(AB$86:AB162)-685480832.48</f>
        <v>0</v>
      </c>
      <c r="J245" s="1261">
        <f>J$169-SUM(AC$86:AC162)-459678900.31</f>
        <v>0</v>
      </c>
      <c r="K245" s="259">
        <f>K$169-SUM(AD$86:AD162)</f>
        <v>0</v>
      </c>
      <c r="L245" s="681">
        <f>L$169-SUM(AE$86:AE162)-74183020.17</f>
        <v>0</v>
      </c>
      <c r="M245" s="681">
        <f>M$169-SUM(AF$86:AF162)-10597574.31</f>
        <v>0</v>
      </c>
      <c r="N245" s="681">
        <f>N$169-SUM(AG$86:AG162)</f>
        <v>0</v>
      </c>
      <c r="O245" s="681">
        <f>O$169-SUM(AH$86:AH162)-50391465.84</f>
        <v>0</v>
      </c>
      <c r="P245" s="681">
        <f>P$169-SUM(AI$86:AI162)-21195148.62</f>
        <v>0</v>
      </c>
      <c r="Q245" s="681">
        <f>Q$169-SUM(AJ$86:AJ162)-23844542.2</f>
        <v>0</v>
      </c>
      <c r="R245" s="681">
        <f>R$169-SUM(AK$86:AK162)-101153846.78</f>
        <v>0</v>
      </c>
      <c r="S245" s="681">
        <f>S$169-SUM(AL$86:AL162)-11657331.74</f>
        <v>0</v>
      </c>
      <c r="T245" s="682">
        <f t="shared" si="178"/>
        <v>9.9999308586120605E-3</v>
      </c>
    </row>
    <row r="246" spans="1:20">
      <c r="A246" s="205">
        <v>41567</v>
      </c>
      <c r="B246" s="75"/>
      <c r="C246" s="258">
        <f>$C$169-SUM($V$86:V163)</f>
        <v>9.9999904632568359E-3</v>
      </c>
      <c r="D246" s="259">
        <f>D$169-SUM(W$86:W163)</f>
        <v>9.9999308586120605E-3</v>
      </c>
      <c r="E246" s="259">
        <f>E$169-SUM(X$86:X163)</f>
        <v>-9.9999904632568359E-3</v>
      </c>
      <c r="F246" s="259">
        <f>F$169-SUM(Y$86:Y163)</f>
        <v>0</v>
      </c>
      <c r="G246" s="259">
        <f>G$169-SUM(Z$86:Z163)</f>
        <v>0</v>
      </c>
      <c r="H246" s="1266">
        <f>H$169-SUM(AA$86:AA163)-1452908326.44</f>
        <v>0</v>
      </c>
      <c r="I246" s="1261">
        <f>I$169-SUM(AB$86:AB163)-685480832.48</f>
        <v>0</v>
      </c>
      <c r="J246" s="1261">
        <f>J$169-SUM(AC$86:AC163)-459678900.31</f>
        <v>0</v>
      </c>
      <c r="K246" s="259">
        <f>K$169-SUM(AD$86:AD163)</f>
        <v>0</v>
      </c>
      <c r="L246" s="681">
        <f>L$169-SUM(AE$86:AE163)-74183020.17</f>
        <v>0</v>
      </c>
      <c r="M246" s="681">
        <f>M$169-SUM(AF$86:AF163)-10597574.31</f>
        <v>0</v>
      </c>
      <c r="N246" s="681">
        <f>N$169-SUM(AG$86:AG163)</f>
        <v>0</v>
      </c>
      <c r="O246" s="681">
        <f>O$169-SUM(AH$86:AH163)-50391465.84</f>
        <v>0</v>
      </c>
      <c r="P246" s="681">
        <f>P$169-SUM(AI$86:AI163)-21195148.62</f>
        <v>0</v>
      </c>
      <c r="Q246" s="681">
        <f>Q$169-SUM(AJ$86:AJ163)-23844542.2</f>
        <v>0</v>
      </c>
      <c r="R246" s="681">
        <f>R$169-SUM(AK$86:AK163)-101153846.78</f>
        <v>0</v>
      </c>
      <c r="S246" s="681">
        <f>S$169-SUM(AL$86:AL163)-11657331.74</f>
        <v>0</v>
      </c>
      <c r="T246" s="682">
        <f t="shared" si="178"/>
        <v>9.9999308586120605E-3</v>
      </c>
    </row>
    <row r="247" spans="1:20">
      <c r="A247" s="205">
        <v>41598</v>
      </c>
      <c r="B247" s="75"/>
      <c r="C247" s="258">
        <f>$C$169-SUM($V$86:V164)</f>
        <v>9.9999904632568359E-3</v>
      </c>
      <c r="D247" s="259">
        <f>D$169-SUM(W$86:W164)</f>
        <v>9.9999308586120605E-3</v>
      </c>
      <c r="E247" s="259">
        <f>E$169-SUM(X$86:X164)</f>
        <v>-9.9999904632568359E-3</v>
      </c>
      <c r="F247" s="259">
        <f>F$169-SUM(Y$86:Y164)</f>
        <v>0</v>
      </c>
      <c r="G247" s="259">
        <f>G$169-SUM(Z$86:Z164)</f>
        <v>0</v>
      </c>
      <c r="H247" s="1266">
        <f>H$169-SUM(AA$86:AA164)-1452908326.44</f>
        <v>0</v>
      </c>
      <c r="I247" s="1261">
        <f>I$169-SUM(AB$86:AB164)-685480832.48</f>
        <v>0</v>
      </c>
      <c r="J247" s="1261">
        <f>J$169-SUM(AC$86:AC164)-459678900.31</f>
        <v>0</v>
      </c>
      <c r="K247" s="259">
        <f>K$169-SUM(AD$86:AD164)</f>
        <v>0</v>
      </c>
      <c r="L247" s="681">
        <f>L$169-SUM(AE$86:AE164)-74183020.17</f>
        <v>0</v>
      </c>
      <c r="M247" s="681">
        <f>M$169-SUM(AF$86:AF164)-10597574.31</f>
        <v>0</v>
      </c>
      <c r="N247" s="681">
        <f>N$169-SUM(AG$86:AG164)</f>
        <v>0</v>
      </c>
      <c r="O247" s="681">
        <f>O$169-SUM(AH$86:AH164)-50391465.84</f>
        <v>0</v>
      </c>
      <c r="P247" s="681">
        <f>P$169-SUM(AI$86:AI164)-21195148.62</f>
        <v>0</v>
      </c>
      <c r="Q247" s="681">
        <f>Q$169-SUM(AJ$86:AJ164)-23844542.2</f>
        <v>0</v>
      </c>
      <c r="R247" s="681">
        <f>R$169-SUM(AK$86:AK164)-101153846.78</f>
        <v>0</v>
      </c>
      <c r="S247" s="681">
        <f>S$169-SUM(AL$86:AL164)-11657331.74</f>
        <v>0</v>
      </c>
      <c r="T247" s="682">
        <f t="shared" si="178"/>
        <v>9.9999308586120605E-3</v>
      </c>
    </row>
    <row r="248" spans="1:20">
      <c r="A248" s="205">
        <v>41628</v>
      </c>
      <c r="B248" s="75"/>
      <c r="C248" s="258">
        <f>$C$169-SUM($V$86:V165)</f>
        <v>9.9999904632568359E-3</v>
      </c>
      <c r="D248" s="259">
        <f>D$169-SUM(W$86:W165)</f>
        <v>9.9999308586120605E-3</v>
      </c>
      <c r="E248" s="259">
        <f>E$169-SUM(X$86:X165)</f>
        <v>-9.9999904632568359E-3</v>
      </c>
      <c r="F248" s="259">
        <f>F$169-SUM(Y$86:Y165)</f>
        <v>0</v>
      </c>
      <c r="G248" s="259">
        <f>G$169-SUM(Z$86:Z165)</f>
        <v>0</v>
      </c>
      <c r="H248" s="1266">
        <f>H$169-SUM(AA$86:AA165)-1452908326.44</f>
        <v>0</v>
      </c>
      <c r="I248" s="1261">
        <f>I$169-SUM(AB$86:AB165)-685480832.48</f>
        <v>0</v>
      </c>
      <c r="J248" s="1261">
        <f>J$169-SUM(AC$86:AC165)-459678900.31</f>
        <v>0</v>
      </c>
      <c r="K248" s="259">
        <f>K$169-SUM(AD$86:AD165)</f>
        <v>0</v>
      </c>
      <c r="L248" s="681">
        <f>L$169-SUM(AE$86:AE165)-74183020.17</f>
        <v>0</v>
      </c>
      <c r="M248" s="681">
        <f>M$169-SUM(AF$86:AF165)-10597574.31</f>
        <v>0</v>
      </c>
      <c r="N248" s="681">
        <f>N$169-SUM(AG$86:AG165)</f>
        <v>0</v>
      </c>
      <c r="O248" s="681">
        <f>O$169-SUM(AH$86:AH165)-50391465.84</f>
        <v>0</v>
      </c>
      <c r="P248" s="681">
        <f>P$169-SUM(AI$86:AI165)-21195148.62</f>
        <v>0</v>
      </c>
      <c r="Q248" s="681">
        <f>Q$169-SUM(AJ$86:AJ165)-23844542.2</f>
        <v>0</v>
      </c>
      <c r="R248" s="681">
        <f>R$169-SUM(AK$86:AK165)-101153846.78</f>
        <v>0</v>
      </c>
      <c r="S248" s="681">
        <f>S$169-SUM(AL$86:AL165)-11657331.74</f>
        <v>0</v>
      </c>
      <c r="T248" s="682">
        <f t="shared" si="178"/>
        <v>9.9999308586120605E-3</v>
      </c>
    </row>
    <row r="249" spans="1:20">
      <c r="A249" s="75"/>
      <c r="B249" s="75"/>
    </row>
    <row r="250" spans="1:20">
      <c r="A250" s="75"/>
      <c r="B250" s="75"/>
    </row>
    <row r="251" spans="1:20">
      <c r="A251" s="75"/>
      <c r="B251" s="75"/>
    </row>
    <row r="252" spans="1:20">
      <c r="A252" s="75"/>
      <c r="B252" s="75"/>
    </row>
    <row r="253" spans="1:20">
      <c r="A253" s="75"/>
      <c r="B253" s="75"/>
    </row>
    <row r="254" spans="1:20">
      <c r="A254" s="75"/>
      <c r="B254" s="75"/>
    </row>
    <row r="255" spans="1:20">
      <c r="A255" s="75"/>
      <c r="B255" s="75"/>
    </row>
    <row r="256" spans="1:20">
      <c r="A256" s="75"/>
      <c r="B256" s="75"/>
    </row>
    <row r="257" spans="1:2">
      <c r="A257" s="75"/>
      <c r="B257" s="75"/>
    </row>
    <row r="258" spans="1:2">
      <c r="A258" s="75"/>
      <c r="B258" s="75"/>
    </row>
    <row r="259" spans="1:2">
      <c r="A259" s="75"/>
      <c r="B259" s="75"/>
    </row>
    <row r="260" spans="1:2">
      <c r="A260" s="75"/>
      <c r="B260" s="75"/>
    </row>
    <row r="261" spans="1:2">
      <c r="A261" s="75"/>
      <c r="B261" s="75"/>
    </row>
    <row r="262" spans="1:2">
      <c r="A262" s="75"/>
      <c r="B262" s="75"/>
    </row>
  </sheetData>
  <autoFilter ref="A2:S70"/>
  <phoneticPr fontId="3" type="noConversion"/>
  <pageMargins left="0.75" right="0.75" top="1" bottom="1" header="0.5" footer="0.5"/>
  <pageSetup paperSize="8" orientation="landscape" r:id="rId1"/>
  <headerFooter alignWithMargins="0"/>
  <legacyDrawing r:id="rId2"/>
</worksheet>
</file>

<file path=xl/worksheets/sheet7.xml><?xml version="1.0" encoding="utf-8"?>
<worksheet xmlns="http://schemas.openxmlformats.org/spreadsheetml/2006/main" xmlns:r="http://schemas.openxmlformats.org/officeDocument/2006/relationships">
  <sheetPr codeName="Sheet9" enableFormatConditionsCalculation="0">
    <tabColor indexed="43"/>
  </sheetPr>
  <dimension ref="A1:BW264"/>
  <sheetViews>
    <sheetView topLeftCell="A199" zoomScale="70" workbookViewId="0">
      <selection activeCell="W248" sqref="A240:W248"/>
    </sheetView>
  </sheetViews>
  <sheetFormatPr defaultRowHeight="12.75"/>
  <cols>
    <col min="1" max="1" width="39.28515625" style="73" bestFit="1" customWidth="1"/>
    <col min="2" max="2" width="10.5703125" style="73" customWidth="1"/>
    <col min="3" max="3" width="16.85546875" style="73" bestFit="1" customWidth="1"/>
    <col min="4" max="5" width="16.5703125" style="73" customWidth="1"/>
    <col min="6" max="6" width="17.28515625" style="73" bestFit="1" customWidth="1"/>
    <col min="7" max="8" width="16.85546875" style="73" bestFit="1" customWidth="1"/>
    <col min="9" max="10" width="15.5703125" style="73" bestFit="1" customWidth="1"/>
    <col min="11" max="12" width="15" style="73" customWidth="1"/>
    <col min="13" max="13" width="14.28515625" style="73" bestFit="1" customWidth="1"/>
    <col min="14" max="15" width="15" style="73" customWidth="1"/>
    <col min="16" max="16" width="15.28515625" style="73" bestFit="1" customWidth="1"/>
    <col min="17" max="18" width="15" style="73" customWidth="1"/>
    <col min="19" max="19" width="18" style="73" bestFit="1" customWidth="1"/>
    <col min="20" max="20" width="18.5703125" style="73" bestFit="1" customWidth="1"/>
    <col min="21" max="21" width="36.7109375" style="73" bestFit="1" customWidth="1"/>
    <col min="22" max="22" width="15" style="73" customWidth="1"/>
    <col min="23" max="23" width="16.5703125" style="73" customWidth="1"/>
    <col min="24" max="24" width="15.28515625" style="73" customWidth="1"/>
    <col min="25" max="25" width="17.28515625" style="73" bestFit="1" customWidth="1"/>
    <col min="26" max="26" width="16.28515625" style="73" bestFit="1" customWidth="1"/>
    <col min="27" max="28" width="14.42578125" style="73" bestFit="1" customWidth="1"/>
    <col min="29" max="29" width="14.28515625" style="73" bestFit="1" customWidth="1"/>
    <col min="30" max="30" width="16.28515625" style="73" bestFit="1" customWidth="1"/>
    <col min="31" max="31" width="14.140625" style="73" bestFit="1" customWidth="1"/>
    <col min="32" max="32" width="13.140625" style="73" bestFit="1" customWidth="1"/>
    <col min="33" max="33" width="16.28515625" style="73" bestFit="1" customWidth="1"/>
    <col min="34" max="34" width="14.28515625" style="73" bestFit="1" customWidth="1"/>
    <col min="35" max="38" width="14.140625" style="73" bestFit="1" customWidth="1"/>
    <col min="39" max="39" width="9.140625" style="73"/>
    <col min="40" max="40" width="30.42578125" style="73" customWidth="1"/>
    <col min="41" max="41" width="12.5703125" style="73" bestFit="1" customWidth="1"/>
    <col min="42" max="43" width="9.140625" style="73"/>
    <col min="44" max="44" width="12.140625" style="73" customWidth="1"/>
    <col min="45" max="45" width="9.140625" style="73"/>
    <col min="46" max="46" width="14.7109375" style="73" customWidth="1"/>
    <col min="47" max="57" width="9.140625" style="73"/>
    <col min="58" max="58" width="42.140625" style="73" customWidth="1"/>
    <col min="59" max="59" width="16.5703125" style="73" bestFit="1" customWidth="1"/>
    <col min="60" max="60" width="15.28515625" style="73" bestFit="1" customWidth="1"/>
    <col min="61" max="61" width="15" style="73" bestFit="1" customWidth="1"/>
    <col min="62" max="63" width="15.28515625" style="73" bestFit="1" customWidth="1"/>
    <col min="64" max="64" width="16.5703125" style="73" bestFit="1" customWidth="1"/>
    <col min="65" max="65" width="15.28515625" style="73" bestFit="1" customWidth="1"/>
    <col min="66" max="66" width="15" style="73" bestFit="1" customWidth="1"/>
    <col min="67" max="67" width="14.28515625" style="73" bestFit="1" customWidth="1"/>
    <col min="68" max="68" width="14" style="73" bestFit="1" customWidth="1"/>
    <col min="69" max="69" width="14.28515625" style="73" bestFit="1" customWidth="1"/>
    <col min="70" max="70" width="14" style="73" bestFit="1" customWidth="1"/>
    <col min="71" max="72" width="14.28515625" style="73" bestFit="1" customWidth="1"/>
    <col min="73" max="73" width="14" style="73" bestFit="1" customWidth="1"/>
    <col min="74" max="74" width="15" style="73" bestFit="1" customWidth="1"/>
    <col min="75" max="75" width="14.28515625" style="73" bestFit="1" customWidth="1"/>
    <col min="76" max="16384" width="9.140625" style="73"/>
  </cols>
  <sheetData>
    <row r="1" spans="1:28" ht="13.5" thickBot="1">
      <c r="A1" s="197" t="s">
        <v>759</v>
      </c>
      <c r="B1" s="198"/>
      <c r="C1" s="199" t="s">
        <v>742</v>
      </c>
      <c r="D1" s="199" t="s">
        <v>743</v>
      </c>
      <c r="E1" s="199" t="s">
        <v>744</v>
      </c>
      <c r="F1" s="199" t="s">
        <v>745</v>
      </c>
      <c r="G1" s="199" t="s">
        <v>746</v>
      </c>
      <c r="H1" s="199" t="s">
        <v>747</v>
      </c>
      <c r="I1" s="199" t="s">
        <v>748</v>
      </c>
      <c r="J1" s="199" t="s">
        <v>749</v>
      </c>
      <c r="K1" s="199" t="s">
        <v>750</v>
      </c>
      <c r="L1" s="199" t="s">
        <v>751</v>
      </c>
      <c r="M1" s="199" t="s">
        <v>752</v>
      </c>
      <c r="N1" s="199" t="s">
        <v>753</v>
      </c>
      <c r="O1" s="199" t="s">
        <v>754</v>
      </c>
      <c r="P1" s="199" t="s">
        <v>755</v>
      </c>
      <c r="Q1" s="199" t="s">
        <v>756</v>
      </c>
      <c r="R1" s="199" t="s">
        <v>757</v>
      </c>
      <c r="S1" s="199" t="s">
        <v>758</v>
      </c>
      <c r="T1" s="367" t="s">
        <v>138</v>
      </c>
      <c r="U1" s="200" t="s">
        <v>760</v>
      </c>
      <c r="V1" s="201" t="s">
        <v>761</v>
      </c>
      <c r="W1" s="201" t="s">
        <v>762</v>
      </c>
      <c r="X1" s="201" t="s">
        <v>763</v>
      </c>
      <c r="Y1" s="201" t="s">
        <v>764</v>
      </c>
      <c r="Z1" s="201" t="s">
        <v>138</v>
      </c>
      <c r="AA1" s="201"/>
      <c r="AB1" s="201"/>
    </row>
    <row r="2" spans="1:28">
      <c r="A2" s="198" t="s">
        <v>847</v>
      </c>
      <c r="B2" s="198" t="s">
        <v>991</v>
      </c>
      <c r="C2" s="198" t="s">
        <v>662</v>
      </c>
      <c r="D2" s="198" t="s">
        <v>662</v>
      </c>
      <c r="E2" s="198" t="s">
        <v>662</v>
      </c>
      <c r="F2" s="198" t="s">
        <v>662</v>
      </c>
      <c r="G2" s="198" t="s">
        <v>662</v>
      </c>
      <c r="H2" s="198" t="s">
        <v>662</v>
      </c>
      <c r="I2" s="198" t="s">
        <v>662</v>
      </c>
      <c r="J2" s="198" t="s">
        <v>662</v>
      </c>
      <c r="K2" s="198" t="s">
        <v>662</v>
      </c>
      <c r="L2" s="198" t="s">
        <v>662</v>
      </c>
      <c r="M2" s="198" t="s">
        <v>662</v>
      </c>
      <c r="N2" s="198" t="s">
        <v>662</v>
      </c>
      <c r="O2" s="198" t="s">
        <v>662</v>
      </c>
      <c r="P2" s="198" t="s">
        <v>662</v>
      </c>
      <c r="Q2" s="198" t="s">
        <v>662</v>
      </c>
      <c r="R2" s="198" t="s">
        <v>662</v>
      </c>
      <c r="S2" s="198" t="s">
        <v>662</v>
      </c>
      <c r="V2" s="202" t="s">
        <v>662</v>
      </c>
      <c r="W2" s="203" t="s">
        <v>662</v>
      </c>
      <c r="X2" s="203" t="s">
        <v>662</v>
      </c>
      <c r="Y2" s="203" t="s">
        <v>662</v>
      </c>
      <c r="Z2" s="204" t="s">
        <v>662</v>
      </c>
    </row>
    <row r="3" spans="1:28">
      <c r="A3" s="205">
        <v>39239</v>
      </c>
      <c r="B3" s="198" t="b">
        <v>1</v>
      </c>
      <c r="C3" s="76">
        <v>1057082452.4312897</v>
      </c>
      <c r="D3" s="76">
        <v>308470204.96810097</v>
      </c>
      <c r="E3" s="76">
        <v>149300000</v>
      </c>
      <c r="F3" s="76">
        <v>912866203.56387806</v>
      </c>
      <c r="G3" s="76">
        <v>339351160.58096915</v>
      </c>
      <c r="H3" s="76">
        <v>1222692036.645525</v>
      </c>
      <c r="I3" s="76">
        <v>777792860.05158138</v>
      </c>
      <c r="J3" s="76">
        <v>768500000</v>
      </c>
      <c r="K3" s="76">
        <v>43290043.290043294</v>
      </c>
      <c r="L3" s="185">
        <v>95018324.962671369</v>
      </c>
      <c r="M3" s="76">
        <v>20000000</v>
      </c>
      <c r="N3" s="76">
        <v>32719218.765730396</v>
      </c>
      <c r="O3" s="76">
        <v>64544590.742500335</v>
      </c>
      <c r="P3" s="76">
        <v>40000000</v>
      </c>
      <c r="Q3" s="76">
        <v>22651766.837813351</v>
      </c>
      <c r="R3" s="76">
        <v>129564273.10981403</v>
      </c>
      <c r="S3" s="76">
        <v>22000000</v>
      </c>
      <c r="T3" s="267">
        <f>SUM(C3:S3)</f>
        <v>6005843135.9499168</v>
      </c>
      <c r="V3" s="206">
        <f t="shared" ref="V3:V34" si="0">SUM(C3:J3)</f>
        <v>5536054918.2413445</v>
      </c>
      <c r="W3" s="207">
        <f t="shared" ref="W3:W34" si="1">SUM(K3:M3)</f>
        <v>158308368.25271466</v>
      </c>
      <c r="X3" s="208">
        <f t="shared" ref="X3:X34" si="2">SUM(N3:P3)</f>
        <v>137263809.50823075</v>
      </c>
      <c r="Y3" s="208">
        <f t="shared" ref="Y3:Y34" si="3">SUM(Q3:S3)</f>
        <v>174216039.9476274</v>
      </c>
      <c r="Z3" s="209">
        <f>SUM(V3:Y3)</f>
        <v>6005843135.9499178</v>
      </c>
    </row>
    <row r="4" spans="1:28">
      <c r="A4" s="205">
        <v>39253</v>
      </c>
      <c r="B4" s="210" t="b">
        <f t="shared" ref="B4:B35" si="4">MOD(MONTH(A4),3)=2</f>
        <v>0</v>
      </c>
      <c r="C4" s="76">
        <v>1057082452.4312897</v>
      </c>
      <c r="D4" s="76">
        <v>308470204.96810097</v>
      </c>
      <c r="E4" s="76">
        <v>149300000</v>
      </c>
      <c r="F4" s="76">
        <v>912866203.56387806</v>
      </c>
      <c r="G4" s="76">
        <v>339351160.58096915</v>
      </c>
      <c r="H4" s="76">
        <v>1222692036.645525</v>
      </c>
      <c r="I4" s="76">
        <v>777792860.05158138</v>
      </c>
      <c r="J4" s="76">
        <v>768500000</v>
      </c>
      <c r="K4" s="76">
        <v>43290043.290043294</v>
      </c>
      <c r="L4" s="76">
        <v>95018324.962671369</v>
      </c>
      <c r="M4" s="76">
        <v>20000000</v>
      </c>
      <c r="N4" s="76">
        <v>32719218.765730396</v>
      </c>
      <c r="O4" s="76">
        <v>64544590.742500335</v>
      </c>
      <c r="P4" s="76">
        <v>40000000</v>
      </c>
      <c r="Q4" s="76">
        <v>22651766.837813351</v>
      </c>
      <c r="R4" s="76">
        <v>129564273.10981403</v>
      </c>
      <c r="S4" s="76">
        <v>22000000</v>
      </c>
      <c r="T4" s="267">
        <f t="shared" ref="T4:T67" si="5">SUM(C4:S4)</f>
        <v>6005843135.9499168</v>
      </c>
      <c r="V4" s="206">
        <f t="shared" si="0"/>
        <v>5536054918.2413445</v>
      </c>
      <c r="W4" s="207">
        <f t="shared" si="1"/>
        <v>158308368.25271466</v>
      </c>
      <c r="X4" s="208">
        <f t="shared" si="2"/>
        <v>137263809.50823075</v>
      </c>
      <c r="Y4" s="208">
        <f t="shared" si="3"/>
        <v>174216039.9476274</v>
      </c>
      <c r="Z4" s="209">
        <f t="shared" ref="Z4:Z34" si="6">SUM(V4:Y4)</f>
        <v>6005843135.9499178</v>
      </c>
    </row>
    <row r="5" spans="1:28">
      <c r="A5" s="205">
        <v>39283</v>
      </c>
      <c r="B5" s="210" t="b">
        <f t="shared" si="4"/>
        <v>0</v>
      </c>
      <c r="C5" s="76">
        <v>1057082452.4312897</v>
      </c>
      <c r="D5" s="76">
        <v>308470204.96810097</v>
      </c>
      <c r="E5" s="76">
        <v>149300000</v>
      </c>
      <c r="F5" s="76">
        <v>912866203.56387806</v>
      </c>
      <c r="G5" s="76">
        <v>339351160.58096915</v>
      </c>
      <c r="H5" s="76">
        <v>1222692036.645525</v>
      </c>
      <c r="I5" s="76">
        <v>777792860.05158138</v>
      </c>
      <c r="J5" s="76">
        <v>768500000</v>
      </c>
      <c r="K5" s="76">
        <v>43290043.290043294</v>
      </c>
      <c r="L5" s="76">
        <v>95018324.962671369</v>
      </c>
      <c r="M5" s="76">
        <v>20000000</v>
      </c>
      <c r="N5" s="76">
        <v>32719218.765730396</v>
      </c>
      <c r="O5" s="76">
        <v>64544590.742500335</v>
      </c>
      <c r="P5" s="76">
        <v>40000000</v>
      </c>
      <c r="Q5" s="76">
        <v>22651766.837813351</v>
      </c>
      <c r="R5" s="76">
        <v>129564273.10981403</v>
      </c>
      <c r="S5" s="76">
        <v>22000000</v>
      </c>
      <c r="T5" s="267">
        <f t="shared" si="5"/>
        <v>6005843135.9499168</v>
      </c>
      <c r="V5" s="206">
        <f t="shared" si="0"/>
        <v>5536054918.2413445</v>
      </c>
      <c r="W5" s="207">
        <f t="shared" si="1"/>
        <v>158308368.25271466</v>
      </c>
      <c r="X5" s="208">
        <f t="shared" si="2"/>
        <v>137263809.50823075</v>
      </c>
      <c r="Y5" s="208">
        <f t="shared" si="3"/>
        <v>174216039.9476274</v>
      </c>
      <c r="Z5" s="209">
        <f t="shared" si="6"/>
        <v>6005843135.9499178</v>
      </c>
    </row>
    <row r="6" spans="1:28">
      <c r="A6" s="205">
        <v>39314</v>
      </c>
      <c r="B6" s="210" t="b">
        <f t="shared" si="4"/>
        <v>1</v>
      </c>
      <c r="C6" s="76">
        <v>979936475.24741006</v>
      </c>
      <c r="D6" s="76">
        <v>285958020.28502148</v>
      </c>
      <c r="E6" s="76">
        <v>138404071.90369865</v>
      </c>
      <c r="F6" s="76">
        <v>912866203.56387806</v>
      </c>
      <c r="G6" s="76">
        <v>339351160.58096915</v>
      </c>
      <c r="H6" s="76">
        <v>1222692036.645525</v>
      </c>
      <c r="I6" s="76">
        <v>777792860.05158138</v>
      </c>
      <c r="J6" s="76">
        <v>768500000</v>
      </c>
      <c r="K6" s="76">
        <v>43290043.290043294</v>
      </c>
      <c r="L6" s="76">
        <v>95018324.962671369</v>
      </c>
      <c r="M6" s="76">
        <v>20000000</v>
      </c>
      <c r="N6" s="76">
        <v>32719218.765730396</v>
      </c>
      <c r="O6" s="76">
        <v>64544590.742500335</v>
      </c>
      <c r="P6" s="76">
        <v>40000000</v>
      </c>
      <c r="Q6" s="76">
        <v>22651766.837813351</v>
      </c>
      <c r="R6" s="76">
        <v>129564273.10981403</v>
      </c>
      <c r="S6" s="76">
        <v>22000000</v>
      </c>
      <c r="T6" s="267">
        <f t="shared" si="5"/>
        <v>5895289045.9866562</v>
      </c>
      <c r="V6" s="206">
        <f t="shared" si="0"/>
        <v>5425500828.2780838</v>
      </c>
      <c r="W6" s="207">
        <f t="shared" si="1"/>
        <v>158308368.25271466</v>
      </c>
      <c r="X6" s="208">
        <f t="shared" si="2"/>
        <v>137263809.50823075</v>
      </c>
      <c r="Y6" s="208">
        <f t="shared" si="3"/>
        <v>174216039.9476274</v>
      </c>
      <c r="Z6" s="209">
        <f t="shared" si="6"/>
        <v>5895289045.9866571</v>
      </c>
    </row>
    <row r="7" spans="1:28">
      <c r="A7" s="205">
        <v>39345</v>
      </c>
      <c r="B7" s="210" t="b">
        <f t="shared" si="4"/>
        <v>0</v>
      </c>
      <c r="C7" s="76">
        <v>979936475.24741006</v>
      </c>
      <c r="D7" s="76">
        <v>285958020.28502148</v>
      </c>
      <c r="E7" s="76">
        <v>138404071.90369865</v>
      </c>
      <c r="F7" s="76">
        <v>912866203.56387806</v>
      </c>
      <c r="G7" s="76">
        <v>339351160.58096915</v>
      </c>
      <c r="H7" s="76">
        <v>1222692036.645525</v>
      </c>
      <c r="I7" s="76">
        <v>777792860.05158138</v>
      </c>
      <c r="J7" s="76">
        <v>768500000</v>
      </c>
      <c r="K7" s="76">
        <v>43290043.290043294</v>
      </c>
      <c r="L7" s="76">
        <v>95018324.962671369</v>
      </c>
      <c r="M7" s="76">
        <v>20000000</v>
      </c>
      <c r="N7" s="76">
        <v>32719218.765730396</v>
      </c>
      <c r="O7" s="76">
        <v>64544590.742500335</v>
      </c>
      <c r="P7" s="76">
        <v>40000000</v>
      </c>
      <c r="Q7" s="76">
        <v>22651766.837813351</v>
      </c>
      <c r="R7" s="76">
        <v>129564273.10981403</v>
      </c>
      <c r="S7" s="76">
        <v>22000000</v>
      </c>
      <c r="T7" s="267">
        <f t="shared" si="5"/>
        <v>5895289045.9866562</v>
      </c>
      <c r="V7" s="206">
        <f t="shared" si="0"/>
        <v>5425500828.2780838</v>
      </c>
      <c r="W7" s="207">
        <f t="shared" si="1"/>
        <v>158308368.25271466</v>
      </c>
      <c r="X7" s="208">
        <f t="shared" si="2"/>
        <v>137263809.50823075</v>
      </c>
      <c r="Y7" s="208">
        <f t="shared" si="3"/>
        <v>174216039.9476274</v>
      </c>
      <c r="Z7" s="209">
        <f t="shared" si="6"/>
        <v>5895289045.9866571</v>
      </c>
    </row>
    <row r="8" spans="1:28">
      <c r="A8" s="205">
        <v>39375</v>
      </c>
      <c r="B8" s="210" t="b">
        <f t="shared" si="4"/>
        <v>0</v>
      </c>
      <c r="C8" s="76">
        <v>979936475.24741006</v>
      </c>
      <c r="D8" s="76">
        <v>285958020.28502148</v>
      </c>
      <c r="E8" s="76">
        <v>138404071.90369865</v>
      </c>
      <c r="F8" s="76">
        <v>912866203.56387806</v>
      </c>
      <c r="G8" s="76">
        <v>339351160.58096915</v>
      </c>
      <c r="H8" s="76">
        <v>1222692036.645525</v>
      </c>
      <c r="I8" s="76">
        <v>777792860.05158138</v>
      </c>
      <c r="J8" s="76">
        <v>768500000</v>
      </c>
      <c r="K8" s="76">
        <v>43290043.290043294</v>
      </c>
      <c r="L8" s="76">
        <v>95018324.962671369</v>
      </c>
      <c r="M8" s="76">
        <v>20000000</v>
      </c>
      <c r="N8" s="76">
        <v>32719218.765730396</v>
      </c>
      <c r="O8" s="76">
        <v>64544590.742500335</v>
      </c>
      <c r="P8" s="76">
        <v>40000000</v>
      </c>
      <c r="Q8" s="76">
        <v>22651766.837813351</v>
      </c>
      <c r="R8" s="76">
        <v>129564273.10981403</v>
      </c>
      <c r="S8" s="76">
        <v>22000000</v>
      </c>
      <c r="T8" s="267">
        <f t="shared" si="5"/>
        <v>5895289045.9866562</v>
      </c>
      <c r="V8" s="206">
        <f t="shared" si="0"/>
        <v>5425500828.2780838</v>
      </c>
      <c r="W8" s="207">
        <f t="shared" si="1"/>
        <v>158308368.25271466</v>
      </c>
      <c r="X8" s="208">
        <f t="shared" si="2"/>
        <v>137263809.50823075</v>
      </c>
      <c r="Y8" s="208">
        <f t="shared" si="3"/>
        <v>174216039.9476274</v>
      </c>
      <c r="Z8" s="209">
        <f t="shared" si="6"/>
        <v>5895289045.9866571</v>
      </c>
    </row>
    <row r="9" spans="1:28">
      <c r="A9" s="205">
        <v>39406</v>
      </c>
      <c r="B9" s="210" t="b">
        <f t="shared" si="4"/>
        <v>1</v>
      </c>
      <c r="C9" s="76">
        <v>756922064.89210761</v>
      </c>
      <c r="D9" s="76">
        <v>220879557.65903071</v>
      </c>
      <c r="E9" s="76">
        <v>106906007.21681851</v>
      </c>
      <c r="F9" s="76">
        <v>912866203.56387806</v>
      </c>
      <c r="G9" s="76">
        <v>339351160.58096915</v>
      </c>
      <c r="H9" s="76">
        <v>1222692036.645525</v>
      </c>
      <c r="I9" s="76">
        <v>777792860.05158138</v>
      </c>
      <c r="J9" s="76">
        <v>768500000</v>
      </c>
      <c r="K9" s="76">
        <v>43290043.290043294</v>
      </c>
      <c r="L9" s="76">
        <v>95018324.962671369</v>
      </c>
      <c r="M9" s="76">
        <v>20000000</v>
      </c>
      <c r="N9" s="76">
        <v>32719218.765730396</v>
      </c>
      <c r="O9" s="76">
        <v>64544590.742500335</v>
      </c>
      <c r="P9" s="76">
        <v>40000000</v>
      </c>
      <c r="Q9" s="76">
        <v>22651766.837813351</v>
      </c>
      <c r="R9" s="76">
        <v>129564273.10981403</v>
      </c>
      <c r="S9" s="76">
        <v>22000000</v>
      </c>
      <c r="T9" s="267">
        <f t="shared" si="5"/>
        <v>5575698108.3184834</v>
      </c>
      <c r="V9" s="206">
        <f t="shared" si="0"/>
        <v>5105909890.609911</v>
      </c>
      <c r="W9" s="207">
        <f t="shared" si="1"/>
        <v>158308368.25271466</v>
      </c>
      <c r="X9" s="208">
        <f t="shared" si="2"/>
        <v>137263809.50823075</v>
      </c>
      <c r="Y9" s="208">
        <f t="shared" si="3"/>
        <v>174216039.9476274</v>
      </c>
      <c r="Z9" s="209">
        <f t="shared" si="6"/>
        <v>5575698108.3184843</v>
      </c>
    </row>
    <row r="10" spans="1:28">
      <c r="A10" s="205">
        <v>39436</v>
      </c>
      <c r="B10" s="210" t="b">
        <f t="shared" si="4"/>
        <v>0</v>
      </c>
      <c r="C10" s="76">
        <v>756922064.89210761</v>
      </c>
      <c r="D10" s="76">
        <v>220879557.65903071</v>
      </c>
      <c r="E10" s="76">
        <v>106906007.21681851</v>
      </c>
      <c r="F10" s="76">
        <v>912866203.56387806</v>
      </c>
      <c r="G10" s="76">
        <v>339351160.58096915</v>
      </c>
      <c r="H10" s="76">
        <v>1222692036.645525</v>
      </c>
      <c r="I10" s="76">
        <v>777792860.05158138</v>
      </c>
      <c r="J10" s="76">
        <v>768500000</v>
      </c>
      <c r="K10" s="76">
        <v>43290043.290043294</v>
      </c>
      <c r="L10" s="76">
        <v>95018324.962671369</v>
      </c>
      <c r="M10" s="76">
        <v>20000000</v>
      </c>
      <c r="N10" s="76">
        <v>32719218.765730396</v>
      </c>
      <c r="O10" s="76">
        <v>64544590.742500335</v>
      </c>
      <c r="P10" s="76">
        <v>40000000</v>
      </c>
      <c r="Q10" s="76">
        <v>22651766.837813351</v>
      </c>
      <c r="R10" s="76">
        <v>129564273.10981403</v>
      </c>
      <c r="S10" s="76">
        <v>22000000</v>
      </c>
      <c r="T10" s="267">
        <f t="shared" si="5"/>
        <v>5575698108.3184834</v>
      </c>
      <c r="V10" s="206">
        <f t="shared" si="0"/>
        <v>5105909890.609911</v>
      </c>
      <c r="W10" s="207">
        <f t="shared" si="1"/>
        <v>158308368.25271466</v>
      </c>
      <c r="X10" s="208">
        <f t="shared" si="2"/>
        <v>137263809.50823075</v>
      </c>
      <c r="Y10" s="208">
        <f t="shared" si="3"/>
        <v>174216039.9476274</v>
      </c>
      <c r="Z10" s="209">
        <f t="shared" si="6"/>
        <v>5575698108.3184843</v>
      </c>
    </row>
    <row r="11" spans="1:28">
      <c r="A11" s="205">
        <v>39467</v>
      </c>
      <c r="B11" s="210" t="b">
        <f t="shared" si="4"/>
        <v>0</v>
      </c>
      <c r="C11" s="76">
        <v>756922064.89210761</v>
      </c>
      <c r="D11" s="76">
        <v>220879557.65903071</v>
      </c>
      <c r="E11" s="76">
        <v>106906007.21681851</v>
      </c>
      <c r="F11" s="76">
        <v>912866203.56387806</v>
      </c>
      <c r="G11" s="76">
        <v>339351160.58096915</v>
      </c>
      <c r="H11" s="76">
        <v>1222692036.645525</v>
      </c>
      <c r="I11" s="76">
        <v>777792860.05158138</v>
      </c>
      <c r="J11" s="76">
        <v>768500000</v>
      </c>
      <c r="K11" s="76">
        <v>43290043.290043294</v>
      </c>
      <c r="L11" s="76">
        <v>95018324.962671369</v>
      </c>
      <c r="M11" s="76">
        <v>20000000</v>
      </c>
      <c r="N11" s="76">
        <v>32719218.765730396</v>
      </c>
      <c r="O11" s="76">
        <v>64544590.742500335</v>
      </c>
      <c r="P11" s="76">
        <v>40000000</v>
      </c>
      <c r="Q11" s="76">
        <v>22651766.837813351</v>
      </c>
      <c r="R11" s="76">
        <v>129564273.10981403</v>
      </c>
      <c r="S11" s="76">
        <v>22000000</v>
      </c>
      <c r="T11" s="267">
        <f t="shared" si="5"/>
        <v>5575698108.3184834</v>
      </c>
      <c r="V11" s="206">
        <f t="shared" si="0"/>
        <v>5105909890.609911</v>
      </c>
      <c r="W11" s="207">
        <f t="shared" si="1"/>
        <v>158308368.25271466</v>
      </c>
      <c r="X11" s="208">
        <f t="shared" si="2"/>
        <v>137263809.50823075</v>
      </c>
      <c r="Y11" s="208">
        <f t="shared" si="3"/>
        <v>174216039.9476274</v>
      </c>
      <c r="Z11" s="209">
        <f t="shared" si="6"/>
        <v>5575698108.3184843</v>
      </c>
    </row>
    <row r="12" spans="1:28">
      <c r="A12" s="205">
        <v>39498</v>
      </c>
      <c r="B12" s="210" t="b">
        <f t="shared" si="4"/>
        <v>1</v>
      </c>
      <c r="C12" s="76">
        <v>546008057.61178923</v>
      </c>
      <c r="D12" s="76">
        <v>159332147.70367315</v>
      </c>
      <c r="E12" s="76">
        <v>77116976.839362353</v>
      </c>
      <c r="F12" s="76">
        <v>912866203.56387806</v>
      </c>
      <c r="G12" s="76">
        <v>339351160.58096915</v>
      </c>
      <c r="H12" s="76">
        <v>1222692036.645525</v>
      </c>
      <c r="I12" s="76">
        <v>777792860.05158138</v>
      </c>
      <c r="J12" s="76">
        <v>768500000</v>
      </c>
      <c r="K12" s="76">
        <v>43290043.290043294</v>
      </c>
      <c r="L12" s="76">
        <v>95018324.962671369</v>
      </c>
      <c r="M12" s="76">
        <v>20000000</v>
      </c>
      <c r="N12" s="76">
        <v>32719218.765730396</v>
      </c>
      <c r="O12" s="76">
        <v>64544590.742500335</v>
      </c>
      <c r="P12" s="76">
        <v>40000000</v>
      </c>
      <c r="Q12" s="76">
        <v>22651766.837813351</v>
      </c>
      <c r="R12" s="76">
        <v>129564273.10981403</v>
      </c>
      <c r="S12" s="76">
        <v>22000000</v>
      </c>
      <c r="T12" s="267">
        <f t="shared" si="5"/>
        <v>5273447660.7053509</v>
      </c>
      <c r="U12" s="267"/>
      <c r="V12" s="206">
        <f t="shared" si="0"/>
        <v>4803659442.9967785</v>
      </c>
      <c r="W12" s="207">
        <f t="shared" si="1"/>
        <v>158308368.25271466</v>
      </c>
      <c r="X12" s="208">
        <f t="shared" si="2"/>
        <v>137263809.50823075</v>
      </c>
      <c r="Y12" s="208">
        <f t="shared" si="3"/>
        <v>174216039.9476274</v>
      </c>
      <c r="Z12" s="209">
        <f t="shared" si="6"/>
        <v>5273447660.7053518</v>
      </c>
    </row>
    <row r="13" spans="1:28">
      <c r="A13" s="205">
        <v>39527</v>
      </c>
      <c r="B13" s="210" t="b">
        <f t="shared" si="4"/>
        <v>0</v>
      </c>
      <c r="C13" s="76">
        <v>546008057.61178923</v>
      </c>
      <c r="D13" s="76">
        <v>159332147.70367315</v>
      </c>
      <c r="E13" s="76">
        <v>77116976.839362353</v>
      </c>
      <c r="F13" s="76">
        <v>912866203.56387806</v>
      </c>
      <c r="G13" s="76">
        <v>339351160.58096915</v>
      </c>
      <c r="H13" s="76">
        <v>1222692036.645525</v>
      </c>
      <c r="I13" s="76">
        <v>777792860.05158138</v>
      </c>
      <c r="J13" s="76">
        <v>768500000</v>
      </c>
      <c r="K13" s="76">
        <v>43290043.290043294</v>
      </c>
      <c r="L13" s="76">
        <v>95018324.962671369</v>
      </c>
      <c r="M13" s="76">
        <v>20000000</v>
      </c>
      <c r="N13" s="76">
        <v>32719218.765730396</v>
      </c>
      <c r="O13" s="76">
        <v>64544590.742500335</v>
      </c>
      <c r="P13" s="76">
        <v>40000000</v>
      </c>
      <c r="Q13" s="76">
        <v>22651766.837813351</v>
      </c>
      <c r="R13" s="76">
        <v>129564273.10981403</v>
      </c>
      <c r="S13" s="76">
        <v>22000000</v>
      </c>
      <c r="T13" s="267">
        <f t="shared" si="5"/>
        <v>5273447660.7053509</v>
      </c>
      <c r="V13" s="206">
        <f t="shared" si="0"/>
        <v>4803659442.9967785</v>
      </c>
      <c r="W13" s="207">
        <f t="shared" si="1"/>
        <v>158308368.25271466</v>
      </c>
      <c r="X13" s="208">
        <f t="shared" si="2"/>
        <v>137263809.50823075</v>
      </c>
      <c r="Y13" s="208">
        <f t="shared" si="3"/>
        <v>174216039.9476274</v>
      </c>
      <c r="Z13" s="209">
        <f t="shared" si="6"/>
        <v>5273447660.7053518</v>
      </c>
    </row>
    <row r="14" spans="1:28">
      <c r="A14" s="205">
        <v>39558</v>
      </c>
      <c r="B14" s="210" t="b">
        <f t="shared" si="4"/>
        <v>0</v>
      </c>
      <c r="C14" s="76">
        <v>546008057.61178923</v>
      </c>
      <c r="D14" s="76">
        <v>159332147.70367315</v>
      </c>
      <c r="E14" s="76">
        <v>77116976.839362353</v>
      </c>
      <c r="F14" s="76">
        <v>912866203.56387806</v>
      </c>
      <c r="G14" s="76">
        <v>339351160.58096915</v>
      </c>
      <c r="H14" s="76">
        <v>1222692036.645525</v>
      </c>
      <c r="I14" s="76">
        <v>777792860.05158138</v>
      </c>
      <c r="J14" s="76">
        <v>768500000</v>
      </c>
      <c r="K14" s="76">
        <v>43290043.290043294</v>
      </c>
      <c r="L14" s="76">
        <v>95018324.962671369</v>
      </c>
      <c r="M14" s="76">
        <v>20000000</v>
      </c>
      <c r="N14" s="76">
        <v>32719218.765730396</v>
      </c>
      <c r="O14" s="76">
        <v>64544590.742500335</v>
      </c>
      <c r="P14" s="76">
        <v>40000000</v>
      </c>
      <c r="Q14" s="76">
        <v>22651766.837813351</v>
      </c>
      <c r="R14" s="76">
        <v>129564273.10981403</v>
      </c>
      <c r="S14" s="76">
        <v>22000000</v>
      </c>
      <c r="T14" s="267">
        <f t="shared" si="5"/>
        <v>5273447660.7053509</v>
      </c>
      <c r="V14" s="206">
        <f t="shared" si="0"/>
        <v>4803659442.9967785</v>
      </c>
      <c r="W14" s="207">
        <f t="shared" si="1"/>
        <v>158308368.25271466</v>
      </c>
      <c r="X14" s="208">
        <f t="shared" si="2"/>
        <v>137263809.50823075</v>
      </c>
      <c r="Y14" s="208">
        <f t="shared" si="3"/>
        <v>174216039.9476274</v>
      </c>
      <c r="Z14" s="209">
        <f t="shared" si="6"/>
        <v>5273447660.7053518</v>
      </c>
    </row>
    <row r="15" spans="1:28">
      <c r="A15" s="205">
        <v>39588</v>
      </c>
      <c r="B15" s="210" t="b">
        <f t="shared" si="4"/>
        <v>1</v>
      </c>
      <c r="C15" s="76">
        <v>346537905.00519335</v>
      </c>
      <c r="D15" s="76">
        <v>101124201.1825152</v>
      </c>
      <c r="E15" s="76">
        <v>48944251.319542497</v>
      </c>
      <c r="F15" s="76">
        <v>912866203.56387806</v>
      </c>
      <c r="G15" s="76">
        <v>339351160.58096915</v>
      </c>
      <c r="H15" s="76">
        <v>1222692036.645525</v>
      </c>
      <c r="I15" s="76">
        <v>777792860.05158138</v>
      </c>
      <c r="J15" s="76">
        <v>768500000</v>
      </c>
      <c r="K15" s="76">
        <v>43290043.290043294</v>
      </c>
      <c r="L15" s="76">
        <v>95018324.962671369</v>
      </c>
      <c r="M15" s="76">
        <v>20000000</v>
      </c>
      <c r="N15" s="76">
        <v>32719218.765730396</v>
      </c>
      <c r="O15" s="76">
        <v>64544590.742500335</v>
      </c>
      <c r="P15" s="76">
        <v>40000000</v>
      </c>
      <c r="Q15" s="76">
        <v>22651766.837813351</v>
      </c>
      <c r="R15" s="76">
        <v>129564273.10981403</v>
      </c>
      <c r="S15" s="76">
        <v>22000000</v>
      </c>
      <c r="T15" s="267">
        <f t="shared" si="5"/>
        <v>4987596836.0577774</v>
      </c>
      <c r="V15" s="206">
        <f t="shared" si="0"/>
        <v>4517808618.349205</v>
      </c>
      <c r="W15" s="207">
        <f t="shared" si="1"/>
        <v>158308368.25271466</v>
      </c>
      <c r="X15" s="208">
        <f t="shared" si="2"/>
        <v>137263809.50823075</v>
      </c>
      <c r="Y15" s="208">
        <f t="shared" si="3"/>
        <v>174216039.9476274</v>
      </c>
      <c r="Z15" s="209">
        <f t="shared" si="6"/>
        <v>4987596836.0577784</v>
      </c>
    </row>
    <row r="16" spans="1:28">
      <c r="A16" s="205">
        <v>39619</v>
      </c>
      <c r="B16" s="210" t="b">
        <f t="shared" si="4"/>
        <v>0</v>
      </c>
      <c r="C16" s="76">
        <v>346537905.00519335</v>
      </c>
      <c r="D16" s="76">
        <v>101124201.1825152</v>
      </c>
      <c r="E16" s="76">
        <v>48944251.319542497</v>
      </c>
      <c r="F16" s="76">
        <v>912866203.56387806</v>
      </c>
      <c r="G16" s="76">
        <v>339351160.58096915</v>
      </c>
      <c r="H16" s="76">
        <v>1222692036.645525</v>
      </c>
      <c r="I16" s="76">
        <v>777792860.05158138</v>
      </c>
      <c r="J16" s="76">
        <v>768500000</v>
      </c>
      <c r="K16" s="76">
        <v>43290043.290043294</v>
      </c>
      <c r="L16" s="76">
        <v>95018324.962671369</v>
      </c>
      <c r="M16" s="76">
        <v>20000000</v>
      </c>
      <c r="N16" s="76">
        <v>32719218.765730396</v>
      </c>
      <c r="O16" s="76">
        <v>64544590.742500335</v>
      </c>
      <c r="P16" s="76">
        <v>40000000</v>
      </c>
      <c r="Q16" s="76">
        <v>22651766.837813351</v>
      </c>
      <c r="R16" s="76">
        <v>129564273.10981403</v>
      </c>
      <c r="S16" s="76">
        <v>22000000</v>
      </c>
      <c r="T16" s="267">
        <f t="shared" si="5"/>
        <v>4987596836.0577774</v>
      </c>
      <c r="V16" s="206">
        <f t="shared" si="0"/>
        <v>4517808618.349205</v>
      </c>
      <c r="W16" s="207">
        <f t="shared" si="1"/>
        <v>158308368.25271466</v>
      </c>
      <c r="X16" s="208">
        <f t="shared" si="2"/>
        <v>137263809.50823075</v>
      </c>
      <c r="Y16" s="208">
        <f t="shared" si="3"/>
        <v>174216039.9476274</v>
      </c>
      <c r="Z16" s="209">
        <f t="shared" si="6"/>
        <v>4987596836.0577784</v>
      </c>
    </row>
    <row r="17" spans="1:29">
      <c r="A17" s="205">
        <v>39649</v>
      </c>
      <c r="B17" s="210" t="b">
        <f t="shared" si="4"/>
        <v>0</v>
      </c>
      <c r="C17" s="76">
        <v>346537905.00519335</v>
      </c>
      <c r="D17" s="76">
        <v>101124201.1825152</v>
      </c>
      <c r="E17" s="76">
        <v>48944251.319542497</v>
      </c>
      <c r="F17" s="76">
        <v>912866203.56387806</v>
      </c>
      <c r="G17" s="76">
        <v>339351160.58096915</v>
      </c>
      <c r="H17" s="76">
        <v>1222692036.645525</v>
      </c>
      <c r="I17" s="76">
        <v>777792860.05158138</v>
      </c>
      <c r="J17" s="76">
        <v>768500000</v>
      </c>
      <c r="K17" s="76">
        <v>43290043.290043294</v>
      </c>
      <c r="L17" s="76">
        <v>95018324.962671369</v>
      </c>
      <c r="M17" s="76">
        <v>20000000</v>
      </c>
      <c r="N17" s="76">
        <v>32719218.765730396</v>
      </c>
      <c r="O17" s="76">
        <v>64544590.742500335</v>
      </c>
      <c r="P17" s="76">
        <v>40000000</v>
      </c>
      <c r="Q17" s="76">
        <v>22651766.837813351</v>
      </c>
      <c r="R17" s="76">
        <v>129564273.10981403</v>
      </c>
      <c r="S17" s="76">
        <v>22000000</v>
      </c>
      <c r="T17" s="267">
        <f t="shared" si="5"/>
        <v>4987596836.0577774</v>
      </c>
      <c r="V17" s="206">
        <f t="shared" si="0"/>
        <v>4517808618.349205</v>
      </c>
      <c r="W17" s="207">
        <f t="shared" si="1"/>
        <v>158308368.25271466</v>
      </c>
      <c r="X17" s="208">
        <f t="shared" si="2"/>
        <v>137263809.50823075</v>
      </c>
      <c r="Y17" s="208">
        <f t="shared" si="3"/>
        <v>174216039.9476274</v>
      </c>
      <c r="Z17" s="209">
        <f t="shared" si="6"/>
        <v>4987596836.0577784</v>
      </c>
    </row>
    <row r="18" spans="1:29">
      <c r="A18" s="205">
        <v>39680</v>
      </c>
      <c r="B18" s="210" t="b">
        <f t="shared" si="4"/>
        <v>1</v>
      </c>
      <c r="C18" s="76">
        <v>157890681.93092242</v>
      </c>
      <c r="D18" s="76">
        <v>46074524.182824485</v>
      </c>
      <c r="E18" s="76">
        <v>22300132.556423232</v>
      </c>
      <c r="F18" s="76">
        <v>912866203.56387806</v>
      </c>
      <c r="G18" s="76">
        <v>339351160.58096915</v>
      </c>
      <c r="H18" s="76">
        <v>1222692036.645525</v>
      </c>
      <c r="I18" s="76">
        <v>777792860.05158138</v>
      </c>
      <c r="J18" s="76">
        <v>768500000</v>
      </c>
      <c r="K18" s="76">
        <v>43290043.290043294</v>
      </c>
      <c r="L18" s="76">
        <v>95018324.962671369</v>
      </c>
      <c r="M18" s="76">
        <v>20000000</v>
      </c>
      <c r="N18" s="76">
        <v>32719218.765730396</v>
      </c>
      <c r="O18" s="76">
        <v>64544590.742500335</v>
      </c>
      <c r="P18" s="76">
        <v>40000000</v>
      </c>
      <c r="Q18" s="76">
        <v>22651766.837813351</v>
      </c>
      <c r="R18" s="76">
        <v>129564273.10981403</v>
      </c>
      <c r="S18" s="76">
        <v>22000000</v>
      </c>
      <c r="T18" s="267">
        <f t="shared" si="5"/>
        <v>4717255817.2206964</v>
      </c>
      <c r="V18" s="206">
        <f>SUM(C18:J18)</f>
        <v>4247467599.5121236</v>
      </c>
      <c r="W18" s="207">
        <f t="shared" si="1"/>
        <v>158308368.25271466</v>
      </c>
      <c r="X18" s="208">
        <f t="shared" si="2"/>
        <v>137263809.50823075</v>
      </c>
      <c r="Y18" s="208">
        <f t="shared" si="3"/>
        <v>174216039.9476274</v>
      </c>
      <c r="Z18" s="209">
        <f t="shared" si="6"/>
        <v>4717255817.2206964</v>
      </c>
    </row>
    <row r="19" spans="1:29">
      <c r="A19" s="205">
        <v>39711</v>
      </c>
      <c r="B19" s="210" t="b">
        <f t="shared" si="4"/>
        <v>0</v>
      </c>
      <c r="C19" s="76">
        <v>157890681.93092242</v>
      </c>
      <c r="D19" s="76">
        <v>46074524.182824485</v>
      </c>
      <c r="E19" s="76">
        <v>22300132.556423232</v>
      </c>
      <c r="F19" s="76">
        <v>912866203.56387806</v>
      </c>
      <c r="G19" s="76">
        <v>339351160.58096915</v>
      </c>
      <c r="H19" s="76">
        <v>1222692036.645525</v>
      </c>
      <c r="I19" s="76">
        <v>777792860.05158138</v>
      </c>
      <c r="J19" s="76">
        <v>768500000</v>
      </c>
      <c r="K19" s="76">
        <v>43290043.290043294</v>
      </c>
      <c r="L19" s="76">
        <v>95018324.962671369</v>
      </c>
      <c r="M19" s="76">
        <v>20000000</v>
      </c>
      <c r="N19" s="76">
        <v>32719218.765730396</v>
      </c>
      <c r="O19" s="76">
        <v>64544590.742500335</v>
      </c>
      <c r="P19" s="76">
        <v>40000000</v>
      </c>
      <c r="Q19" s="76">
        <v>22651766.837813351</v>
      </c>
      <c r="R19" s="76">
        <v>129564273.10981403</v>
      </c>
      <c r="S19" s="76">
        <v>22000000</v>
      </c>
      <c r="T19" s="267">
        <f t="shared" si="5"/>
        <v>4717255817.2206964</v>
      </c>
      <c r="V19" s="206">
        <f t="shared" si="0"/>
        <v>4247467599.5121236</v>
      </c>
      <c r="W19" s="207">
        <f t="shared" si="1"/>
        <v>158308368.25271466</v>
      </c>
      <c r="X19" s="208">
        <f t="shared" si="2"/>
        <v>137263809.50823075</v>
      </c>
      <c r="Y19" s="208">
        <f t="shared" si="3"/>
        <v>174216039.9476274</v>
      </c>
      <c r="Z19" s="209">
        <f t="shared" si="6"/>
        <v>4717255817.2206964</v>
      </c>
    </row>
    <row r="20" spans="1:29">
      <c r="A20" s="205">
        <v>39741</v>
      </c>
      <c r="B20" s="210" t="b">
        <f t="shared" si="4"/>
        <v>0</v>
      </c>
      <c r="C20" s="76">
        <v>157890681.93092242</v>
      </c>
      <c r="D20" s="76">
        <v>46074524.182824485</v>
      </c>
      <c r="E20" s="76">
        <v>22300132.556423232</v>
      </c>
      <c r="F20" s="76">
        <v>912866203.56387806</v>
      </c>
      <c r="G20" s="76">
        <v>339351160.58096915</v>
      </c>
      <c r="H20" s="76">
        <v>1222692036.645525</v>
      </c>
      <c r="I20" s="76">
        <v>777792860.05158138</v>
      </c>
      <c r="J20" s="76">
        <v>768500000</v>
      </c>
      <c r="K20" s="76">
        <v>43290043.290043294</v>
      </c>
      <c r="L20" s="76">
        <v>95018324.962671369</v>
      </c>
      <c r="M20" s="76">
        <v>20000000</v>
      </c>
      <c r="N20" s="76">
        <v>32719218.765730396</v>
      </c>
      <c r="O20" s="76">
        <v>64544590.742500335</v>
      </c>
      <c r="P20" s="76">
        <v>40000000</v>
      </c>
      <c r="Q20" s="76">
        <v>22651766.837813351</v>
      </c>
      <c r="R20" s="76">
        <v>129564273.10981403</v>
      </c>
      <c r="S20" s="76">
        <v>22000000</v>
      </c>
      <c r="T20" s="267">
        <f t="shared" si="5"/>
        <v>4717255817.2206964</v>
      </c>
      <c r="V20" s="206">
        <f t="shared" si="0"/>
        <v>4247467599.5121236</v>
      </c>
      <c r="W20" s="207">
        <f t="shared" si="1"/>
        <v>158308368.25271466</v>
      </c>
      <c r="X20" s="208">
        <f t="shared" si="2"/>
        <v>137263809.50823075</v>
      </c>
      <c r="Y20" s="208">
        <f t="shared" si="3"/>
        <v>174216039.9476274</v>
      </c>
      <c r="Z20" s="209">
        <f t="shared" si="6"/>
        <v>4717255817.2206964</v>
      </c>
    </row>
    <row r="21" spans="1:29">
      <c r="A21" s="205">
        <v>39772</v>
      </c>
      <c r="B21" s="210" t="b">
        <f t="shared" si="4"/>
        <v>1</v>
      </c>
      <c r="C21" s="76">
        <v>0</v>
      </c>
      <c r="D21" s="76">
        <v>0</v>
      </c>
      <c r="E21" s="76">
        <v>0</v>
      </c>
      <c r="F21" s="76">
        <v>912866203.56387806</v>
      </c>
      <c r="G21" s="76">
        <v>339351160.58096915</v>
      </c>
      <c r="H21" s="76">
        <v>1222692036.645525</v>
      </c>
      <c r="I21" s="76">
        <v>777792860.05158138</v>
      </c>
      <c r="J21" s="76">
        <v>768500000</v>
      </c>
      <c r="K21" s="76">
        <v>27528038.678590983</v>
      </c>
      <c r="L21" s="76">
        <v>95018324.962671369</v>
      </c>
      <c r="M21" s="76">
        <v>20000000</v>
      </c>
      <c r="N21" s="76">
        <v>20806075.745446675</v>
      </c>
      <c r="O21" s="76">
        <v>64544590.742500335</v>
      </c>
      <c r="P21" s="76">
        <v>40000000</v>
      </c>
      <c r="Q21" s="76">
        <v>22651766.837813351</v>
      </c>
      <c r="R21" s="76">
        <v>129564273.10981403</v>
      </c>
      <c r="S21" s="76">
        <v>22000000</v>
      </c>
      <c r="T21" s="267">
        <f t="shared" si="5"/>
        <v>4463315330.9187889</v>
      </c>
      <c r="V21" s="206">
        <f t="shared" si="0"/>
        <v>4021202260.8419533</v>
      </c>
      <c r="W21" s="207">
        <f t="shared" si="1"/>
        <v>142546363.64126235</v>
      </c>
      <c r="X21" s="208">
        <f t="shared" si="2"/>
        <v>125350666.48794702</v>
      </c>
      <c r="Y21" s="208">
        <f t="shared" si="3"/>
        <v>174216039.9476274</v>
      </c>
      <c r="Z21" s="209">
        <f t="shared" si="6"/>
        <v>4463315330.9187899</v>
      </c>
    </row>
    <row r="22" spans="1:29">
      <c r="A22" s="205">
        <v>39802</v>
      </c>
      <c r="B22" s="210" t="b">
        <f t="shared" si="4"/>
        <v>0</v>
      </c>
      <c r="C22" s="76">
        <v>0</v>
      </c>
      <c r="D22" s="76">
        <v>0</v>
      </c>
      <c r="E22" s="76">
        <v>0</v>
      </c>
      <c r="F22" s="76">
        <v>912866203.56387806</v>
      </c>
      <c r="G22" s="76">
        <v>339351160.58096915</v>
      </c>
      <c r="H22" s="76">
        <v>1222692036.645525</v>
      </c>
      <c r="I22" s="76">
        <v>777792860.05158138</v>
      </c>
      <c r="J22" s="76">
        <v>768500000</v>
      </c>
      <c r="K22" s="76">
        <v>27528038.678590983</v>
      </c>
      <c r="L22" s="76">
        <v>95018324.962671369</v>
      </c>
      <c r="M22" s="76">
        <v>20000000</v>
      </c>
      <c r="N22" s="76">
        <v>20806075.745446675</v>
      </c>
      <c r="O22" s="76">
        <v>64544590.742500335</v>
      </c>
      <c r="P22" s="76">
        <v>40000000</v>
      </c>
      <c r="Q22" s="76">
        <v>22651766.837813351</v>
      </c>
      <c r="R22" s="76">
        <v>129564273.10981403</v>
      </c>
      <c r="S22" s="76">
        <v>22000000</v>
      </c>
      <c r="T22" s="267">
        <f t="shared" si="5"/>
        <v>4463315330.9187889</v>
      </c>
      <c r="V22" s="206">
        <f t="shared" si="0"/>
        <v>4021202260.8419533</v>
      </c>
      <c r="W22" s="207">
        <f t="shared" si="1"/>
        <v>142546363.64126235</v>
      </c>
      <c r="X22" s="208">
        <f t="shared" si="2"/>
        <v>125350666.48794702</v>
      </c>
      <c r="Y22" s="208">
        <f t="shared" si="3"/>
        <v>174216039.9476274</v>
      </c>
      <c r="Z22" s="209">
        <f t="shared" si="6"/>
        <v>4463315330.9187899</v>
      </c>
    </row>
    <row r="23" spans="1:29">
      <c r="A23" s="205">
        <v>39833</v>
      </c>
      <c r="B23" s="210" t="b">
        <f t="shared" si="4"/>
        <v>0</v>
      </c>
      <c r="C23" s="76">
        <v>0</v>
      </c>
      <c r="D23" s="76">
        <v>0</v>
      </c>
      <c r="E23" s="76">
        <v>0</v>
      </c>
      <c r="F23" s="76">
        <v>912866203.56387806</v>
      </c>
      <c r="G23" s="76">
        <v>339351160.58096915</v>
      </c>
      <c r="H23" s="76">
        <v>1222692036.645525</v>
      </c>
      <c r="I23" s="76">
        <v>777792860.05158138</v>
      </c>
      <c r="J23" s="76">
        <v>768500000</v>
      </c>
      <c r="K23" s="76">
        <v>27528038.678590983</v>
      </c>
      <c r="L23" s="76">
        <v>95018324.962671369</v>
      </c>
      <c r="M23" s="76">
        <v>20000000</v>
      </c>
      <c r="N23" s="76">
        <v>20806075.745446675</v>
      </c>
      <c r="O23" s="76">
        <v>64544590.742500335</v>
      </c>
      <c r="P23" s="76">
        <v>40000000</v>
      </c>
      <c r="Q23" s="76">
        <v>22651766.837813351</v>
      </c>
      <c r="R23" s="76">
        <v>129564273.10981403</v>
      </c>
      <c r="S23" s="76">
        <v>22000000</v>
      </c>
      <c r="T23" s="267">
        <f t="shared" si="5"/>
        <v>4463315330.9187889</v>
      </c>
      <c r="V23" s="206">
        <f t="shared" si="0"/>
        <v>4021202260.8419533</v>
      </c>
      <c r="W23" s="207">
        <f t="shared" si="1"/>
        <v>142546363.64126235</v>
      </c>
      <c r="X23" s="208">
        <f t="shared" si="2"/>
        <v>125350666.48794702</v>
      </c>
      <c r="Y23" s="208">
        <f t="shared" si="3"/>
        <v>174216039.9476274</v>
      </c>
      <c r="Z23" s="209">
        <f t="shared" si="6"/>
        <v>4463315330.9187899</v>
      </c>
    </row>
    <row r="24" spans="1:29">
      <c r="A24" s="205">
        <v>39864</v>
      </c>
      <c r="B24" s="210" t="b">
        <f t="shared" si="4"/>
        <v>1</v>
      </c>
      <c r="C24" s="76">
        <v>0</v>
      </c>
      <c r="D24" s="76">
        <v>0</v>
      </c>
      <c r="E24" s="76">
        <v>0</v>
      </c>
      <c r="F24" s="76">
        <v>773944324.10971832</v>
      </c>
      <c r="G24" s="76">
        <v>287707994.43152833</v>
      </c>
      <c r="H24" s="76">
        <v>1222692036.645525</v>
      </c>
      <c r="I24" s="76">
        <v>777792860.05158138</v>
      </c>
      <c r="J24" s="76">
        <v>768500000</v>
      </c>
      <c r="K24" s="76">
        <v>0</v>
      </c>
      <c r="L24" s="76">
        <v>95018324.962671369</v>
      </c>
      <c r="M24" s="76">
        <v>20000000</v>
      </c>
      <c r="N24" s="76">
        <v>0</v>
      </c>
      <c r="O24" s="76">
        <v>64544590.742500335</v>
      </c>
      <c r="P24" s="76">
        <v>40000000</v>
      </c>
      <c r="Q24" s="76">
        <v>22651766.837813351</v>
      </c>
      <c r="R24" s="76">
        <v>129564273.10981403</v>
      </c>
      <c r="S24" s="76">
        <v>22000000</v>
      </c>
      <c r="T24" s="267">
        <f t="shared" si="5"/>
        <v>4224416170.8911519</v>
      </c>
      <c r="V24" s="206">
        <f t="shared" si="0"/>
        <v>3830637215.2383528</v>
      </c>
      <c r="W24" s="207">
        <f t="shared" si="1"/>
        <v>115018324.96267137</v>
      </c>
      <c r="X24" s="208">
        <f t="shared" si="2"/>
        <v>104544590.74250033</v>
      </c>
      <c r="Y24" s="208">
        <f t="shared" si="3"/>
        <v>174216039.9476274</v>
      </c>
      <c r="Z24" s="209">
        <f t="shared" si="6"/>
        <v>4224416170.8911519</v>
      </c>
    </row>
    <row r="25" spans="1:29">
      <c r="A25" s="205">
        <v>39892</v>
      </c>
      <c r="B25" s="210" t="b">
        <f t="shared" si="4"/>
        <v>0</v>
      </c>
      <c r="C25" s="76">
        <v>0</v>
      </c>
      <c r="D25" s="76">
        <v>0</v>
      </c>
      <c r="E25" s="76">
        <v>0</v>
      </c>
      <c r="F25" s="76">
        <v>773944324.10971832</v>
      </c>
      <c r="G25" s="76">
        <v>287707994.43152833</v>
      </c>
      <c r="H25" s="76">
        <v>1222692036.645525</v>
      </c>
      <c r="I25" s="76">
        <v>777792860.05158138</v>
      </c>
      <c r="J25" s="76">
        <v>768500000</v>
      </c>
      <c r="K25" s="76">
        <v>0</v>
      </c>
      <c r="L25" s="76">
        <v>95018324.962671369</v>
      </c>
      <c r="M25" s="76">
        <v>20000000</v>
      </c>
      <c r="N25" s="76">
        <v>0</v>
      </c>
      <c r="O25" s="76">
        <v>64544590.742500335</v>
      </c>
      <c r="P25" s="76">
        <v>40000000</v>
      </c>
      <c r="Q25" s="76">
        <v>22651766.837813351</v>
      </c>
      <c r="R25" s="76">
        <v>129564273.10981403</v>
      </c>
      <c r="S25" s="76">
        <v>22000000</v>
      </c>
      <c r="T25" s="267">
        <f t="shared" si="5"/>
        <v>4224416170.8911519</v>
      </c>
      <c r="V25" s="206">
        <f t="shared" si="0"/>
        <v>3830637215.2383528</v>
      </c>
      <c r="W25" s="207">
        <f t="shared" si="1"/>
        <v>115018324.96267137</v>
      </c>
      <c r="X25" s="208">
        <f t="shared" si="2"/>
        <v>104544590.74250033</v>
      </c>
      <c r="Y25" s="208">
        <f t="shared" si="3"/>
        <v>174216039.9476274</v>
      </c>
      <c r="Z25" s="209">
        <f t="shared" si="6"/>
        <v>4224416170.8911519</v>
      </c>
    </row>
    <row r="26" spans="1:29">
      <c r="A26" s="205">
        <v>39923</v>
      </c>
      <c r="B26" s="210" t="b">
        <f t="shared" si="4"/>
        <v>0</v>
      </c>
      <c r="C26" s="76">
        <v>0</v>
      </c>
      <c r="D26" s="76">
        <v>0</v>
      </c>
      <c r="E26" s="76">
        <v>0</v>
      </c>
      <c r="F26" s="76">
        <v>773944324.10971832</v>
      </c>
      <c r="G26" s="76">
        <v>287707994.43152833</v>
      </c>
      <c r="H26" s="76">
        <v>1222692036.645525</v>
      </c>
      <c r="I26" s="76">
        <v>777792860.05158138</v>
      </c>
      <c r="J26" s="76">
        <v>768500000</v>
      </c>
      <c r="K26" s="76">
        <v>0</v>
      </c>
      <c r="L26" s="76">
        <v>95018324.962671369</v>
      </c>
      <c r="M26" s="76">
        <v>20000000</v>
      </c>
      <c r="N26" s="76">
        <v>0</v>
      </c>
      <c r="O26" s="76">
        <v>64544590.742500335</v>
      </c>
      <c r="P26" s="76">
        <v>40000000</v>
      </c>
      <c r="Q26" s="76">
        <v>22651766.837813351</v>
      </c>
      <c r="R26" s="76">
        <v>129564273.10981403</v>
      </c>
      <c r="S26" s="76">
        <v>22000000</v>
      </c>
      <c r="T26" s="267">
        <f t="shared" si="5"/>
        <v>4224416170.8911519</v>
      </c>
      <c r="V26" s="206">
        <f t="shared" si="0"/>
        <v>3830637215.2383528</v>
      </c>
      <c r="W26" s="207">
        <f t="shared" si="1"/>
        <v>115018324.96267137</v>
      </c>
      <c r="X26" s="208">
        <f t="shared" si="2"/>
        <v>104544590.74250033</v>
      </c>
      <c r="Y26" s="208">
        <f t="shared" si="3"/>
        <v>174216039.9476274</v>
      </c>
      <c r="Z26" s="209">
        <f t="shared" si="6"/>
        <v>4224416170.8911519</v>
      </c>
    </row>
    <row r="27" spans="1:29">
      <c r="A27" s="205">
        <v>39953</v>
      </c>
      <c r="B27" s="210" t="b">
        <f t="shared" si="4"/>
        <v>1</v>
      </c>
      <c r="C27" s="76">
        <v>0</v>
      </c>
      <c r="D27" s="76">
        <v>0</v>
      </c>
      <c r="E27" s="76">
        <v>0</v>
      </c>
      <c r="F27" s="76">
        <v>607127475.9758842</v>
      </c>
      <c r="G27" s="76">
        <v>225695083.0128895</v>
      </c>
      <c r="H27" s="76">
        <v>1222692036.645525</v>
      </c>
      <c r="I27" s="76">
        <v>777792860.05158138</v>
      </c>
      <c r="J27" s="76">
        <v>768500000</v>
      </c>
      <c r="K27" s="76">
        <v>0</v>
      </c>
      <c r="L27" s="76">
        <v>95018324.962671369</v>
      </c>
      <c r="M27" s="76">
        <v>20000000</v>
      </c>
      <c r="N27" s="76">
        <v>0</v>
      </c>
      <c r="O27" s="76">
        <v>64544590.742500335</v>
      </c>
      <c r="P27" s="76">
        <v>40000000</v>
      </c>
      <c r="Q27" s="76">
        <v>22651766.837813351</v>
      </c>
      <c r="R27" s="76">
        <v>129564273.10981403</v>
      </c>
      <c r="S27" s="76">
        <v>22000000</v>
      </c>
      <c r="T27" s="267">
        <f t="shared" si="5"/>
        <v>3995586411.3386793</v>
      </c>
      <c r="V27" s="206">
        <f t="shared" si="0"/>
        <v>3601807455.6858802</v>
      </c>
      <c r="W27" s="207">
        <f t="shared" si="1"/>
        <v>115018324.96267137</v>
      </c>
      <c r="X27" s="208">
        <f t="shared" si="2"/>
        <v>104544590.74250033</v>
      </c>
      <c r="Y27" s="208">
        <f t="shared" si="3"/>
        <v>174216039.9476274</v>
      </c>
      <c r="Z27" s="209">
        <f t="shared" si="6"/>
        <v>3995586411.3386793</v>
      </c>
    </row>
    <row r="28" spans="1:29">
      <c r="A28" s="205">
        <v>39984</v>
      </c>
      <c r="B28" s="210" t="b">
        <f t="shared" si="4"/>
        <v>0</v>
      </c>
      <c r="C28" s="76">
        <v>0</v>
      </c>
      <c r="D28" s="76">
        <v>0</v>
      </c>
      <c r="E28" s="76">
        <v>0</v>
      </c>
      <c r="F28" s="76">
        <v>607127475.9758842</v>
      </c>
      <c r="G28" s="76">
        <v>225695083.0128895</v>
      </c>
      <c r="H28" s="76">
        <v>1222692036.645525</v>
      </c>
      <c r="I28" s="76">
        <v>777792860.05158138</v>
      </c>
      <c r="J28" s="76">
        <v>768500000</v>
      </c>
      <c r="K28" s="76">
        <v>0</v>
      </c>
      <c r="L28" s="76">
        <v>95018324.962671369</v>
      </c>
      <c r="M28" s="76">
        <v>20000000</v>
      </c>
      <c r="N28" s="76">
        <v>0</v>
      </c>
      <c r="O28" s="76">
        <v>64544590.742500335</v>
      </c>
      <c r="P28" s="76">
        <v>40000000</v>
      </c>
      <c r="Q28" s="76">
        <v>22651766.837813351</v>
      </c>
      <c r="R28" s="76">
        <v>129564273.10981403</v>
      </c>
      <c r="S28" s="76">
        <v>22000000</v>
      </c>
      <c r="T28" s="267">
        <f t="shared" si="5"/>
        <v>3995586411.3386793</v>
      </c>
      <c r="V28" s="206">
        <f t="shared" si="0"/>
        <v>3601807455.6858802</v>
      </c>
      <c r="W28" s="207">
        <f t="shared" si="1"/>
        <v>115018324.96267137</v>
      </c>
      <c r="X28" s="208">
        <f t="shared" si="2"/>
        <v>104544590.74250033</v>
      </c>
      <c r="Y28" s="208">
        <f t="shared" si="3"/>
        <v>174216039.9476274</v>
      </c>
      <c r="Z28" s="209">
        <f t="shared" si="6"/>
        <v>3995586411.3386793</v>
      </c>
    </row>
    <row r="29" spans="1:29">
      <c r="A29" s="205">
        <v>40014</v>
      </c>
      <c r="B29" s="210" t="b">
        <f t="shared" si="4"/>
        <v>0</v>
      </c>
      <c r="C29" s="76">
        <v>0</v>
      </c>
      <c r="D29" s="76">
        <v>0</v>
      </c>
      <c r="E29" s="76">
        <v>0</v>
      </c>
      <c r="F29" s="76">
        <v>607127475.9758842</v>
      </c>
      <c r="G29" s="76">
        <v>225695083.0128895</v>
      </c>
      <c r="H29" s="76">
        <v>1222692036.645525</v>
      </c>
      <c r="I29" s="76">
        <v>777792860.05158138</v>
      </c>
      <c r="J29" s="76">
        <v>768500000</v>
      </c>
      <c r="K29" s="76">
        <v>0</v>
      </c>
      <c r="L29" s="76">
        <v>95018324.962671369</v>
      </c>
      <c r="M29" s="76">
        <v>20000000</v>
      </c>
      <c r="N29" s="76">
        <v>0</v>
      </c>
      <c r="O29" s="76">
        <v>64544590.742500335</v>
      </c>
      <c r="P29" s="76">
        <v>40000000</v>
      </c>
      <c r="Q29" s="76">
        <v>22651766.837813351</v>
      </c>
      <c r="R29" s="76">
        <v>129564273.10981403</v>
      </c>
      <c r="S29" s="76">
        <v>22000000</v>
      </c>
      <c r="T29" s="267">
        <f t="shared" si="5"/>
        <v>3995586411.3386793</v>
      </c>
      <c r="U29" s="267">
        <f>+T29+'GMF 2 GBP Amortisation'!R36</f>
        <v>7369238634.4369373</v>
      </c>
      <c r="V29" s="206">
        <f t="shared" si="0"/>
        <v>3601807455.6858802</v>
      </c>
      <c r="W29" s="207">
        <f t="shared" si="1"/>
        <v>115018324.96267137</v>
      </c>
      <c r="X29" s="208">
        <f t="shared" si="2"/>
        <v>104544590.74250033</v>
      </c>
      <c r="Y29" s="208">
        <f t="shared" si="3"/>
        <v>174216039.9476274</v>
      </c>
      <c r="Z29" s="209">
        <f t="shared" si="6"/>
        <v>3995586411.3386793</v>
      </c>
      <c r="AC29" s="962"/>
    </row>
    <row r="30" spans="1:29">
      <c r="A30" s="205">
        <v>40045</v>
      </c>
      <c r="B30" s="210" t="b">
        <f t="shared" si="4"/>
        <v>1</v>
      </c>
      <c r="C30" s="76">
        <v>0</v>
      </c>
      <c r="D30" s="76">
        <v>0</v>
      </c>
      <c r="E30" s="76">
        <v>0</v>
      </c>
      <c r="F30" s="76">
        <v>449361841.61295342</v>
      </c>
      <c r="G30" s="76">
        <v>167046892.38885462</v>
      </c>
      <c r="H30" s="76">
        <v>1222692036.645525</v>
      </c>
      <c r="I30" s="76">
        <v>777792860.05158138</v>
      </c>
      <c r="J30" s="76">
        <v>768500000</v>
      </c>
      <c r="K30" s="76">
        <v>0</v>
      </c>
      <c r="L30" s="76">
        <v>95018324.962671369</v>
      </c>
      <c r="M30" s="76">
        <v>20000000</v>
      </c>
      <c r="N30" s="76">
        <v>0</v>
      </c>
      <c r="O30" s="76">
        <v>64544590.742500335</v>
      </c>
      <c r="P30" s="76">
        <v>40000000</v>
      </c>
      <c r="Q30" s="76">
        <v>22651766.837813351</v>
      </c>
      <c r="R30" s="76">
        <v>129564273.10981403</v>
      </c>
      <c r="S30" s="76">
        <v>22000000</v>
      </c>
      <c r="T30" s="267">
        <f t="shared" si="5"/>
        <v>3779172586.3517137</v>
      </c>
      <c r="U30" s="267">
        <f>+T30+'GMF 2 GBP Amortisation'!R37</f>
        <v>6969627998.2605076</v>
      </c>
      <c r="V30" s="206">
        <f t="shared" si="0"/>
        <v>3385393630.6989145</v>
      </c>
      <c r="W30" s="207">
        <f t="shared" si="1"/>
        <v>115018324.96267137</v>
      </c>
      <c r="X30" s="208">
        <f t="shared" si="2"/>
        <v>104544590.74250033</v>
      </c>
      <c r="Y30" s="208">
        <f t="shared" si="3"/>
        <v>174216039.9476274</v>
      </c>
      <c r="Z30" s="209">
        <f t="shared" si="6"/>
        <v>3779172586.3517137</v>
      </c>
    </row>
    <row r="31" spans="1:29">
      <c r="A31" s="205">
        <v>40076</v>
      </c>
      <c r="B31" s="210" t="b">
        <f t="shared" si="4"/>
        <v>0</v>
      </c>
      <c r="C31" s="76">
        <v>0</v>
      </c>
      <c r="D31" s="76">
        <v>0</v>
      </c>
      <c r="E31" s="76">
        <v>0</v>
      </c>
      <c r="F31" s="76">
        <v>449361841.61295342</v>
      </c>
      <c r="G31" s="76">
        <v>167046892.38885462</v>
      </c>
      <c r="H31" s="76">
        <v>1222692036.645525</v>
      </c>
      <c r="I31" s="76">
        <v>777792860.05158138</v>
      </c>
      <c r="J31" s="76">
        <v>768500000</v>
      </c>
      <c r="K31" s="76">
        <v>0</v>
      </c>
      <c r="L31" s="76">
        <v>95018324.962671369</v>
      </c>
      <c r="M31" s="76">
        <v>20000000</v>
      </c>
      <c r="N31" s="76">
        <v>0</v>
      </c>
      <c r="O31" s="76">
        <v>64544590.742500335</v>
      </c>
      <c r="P31" s="76">
        <v>40000000</v>
      </c>
      <c r="Q31" s="76">
        <v>22651766.837813351</v>
      </c>
      <c r="R31" s="76">
        <v>129564273.10981403</v>
      </c>
      <c r="S31" s="76">
        <v>22000000</v>
      </c>
      <c r="T31" s="267">
        <f t="shared" si="5"/>
        <v>3779172586.3517137</v>
      </c>
      <c r="V31" s="206">
        <f t="shared" si="0"/>
        <v>3385393630.6989145</v>
      </c>
      <c r="W31" s="207">
        <f t="shared" si="1"/>
        <v>115018324.96267137</v>
      </c>
      <c r="X31" s="208">
        <f t="shared" si="2"/>
        <v>104544590.74250033</v>
      </c>
      <c r="Y31" s="208">
        <f t="shared" si="3"/>
        <v>174216039.9476274</v>
      </c>
      <c r="Z31" s="209">
        <f t="shared" si="6"/>
        <v>3779172586.3517137</v>
      </c>
    </row>
    <row r="32" spans="1:29">
      <c r="A32" s="205">
        <v>40106</v>
      </c>
      <c r="B32" s="210" t="b">
        <f t="shared" si="4"/>
        <v>0</v>
      </c>
      <c r="C32" s="76">
        <v>0</v>
      </c>
      <c r="D32" s="76">
        <v>0</v>
      </c>
      <c r="E32" s="76">
        <v>0</v>
      </c>
      <c r="F32" s="76">
        <v>449361841.61295342</v>
      </c>
      <c r="G32" s="76">
        <v>167046892.38885462</v>
      </c>
      <c r="H32" s="76">
        <v>1222692036.645525</v>
      </c>
      <c r="I32" s="76">
        <v>777792860.05158138</v>
      </c>
      <c r="J32" s="76">
        <v>768500000</v>
      </c>
      <c r="K32" s="76">
        <v>0</v>
      </c>
      <c r="L32" s="76">
        <v>95018324.962671369</v>
      </c>
      <c r="M32" s="76">
        <v>20000000</v>
      </c>
      <c r="N32" s="76">
        <v>0</v>
      </c>
      <c r="O32" s="76">
        <v>64544590.742500335</v>
      </c>
      <c r="P32" s="76">
        <v>40000000</v>
      </c>
      <c r="Q32" s="76">
        <v>22651766.837813351</v>
      </c>
      <c r="R32" s="76">
        <v>129564273.10981403</v>
      </c>
      <c r="S32" s="76">
        <v>22000000</v>
      </c>
      <c r="T32" s="267">
        <f t="shared" si="5"/>
        <v>3779172586.3517137</v>
      </c>
      <c r="V32" s="206">
        <f t="shared" si="0"/>
        <v>3385393630.6989145</v>
      </c>
      <c r="W32" s="207">
        <f t="shared" si="1"/>
        <v>115018324.96267137</v>
      </c>
      <c r="X32" s="208">
        <f t="shared" si="2"/>
        <v>104544590.74250033</v>
      </c>
      <c r="Y32" s="208">
        <f t="shared" si="3"/>
        <v>174216039.9476274</v>
      </c>
      <c r="Z32" s="209">
        <f t="shared" si="6"/>
        <v>3779172586.3517137</v>
      </c>
    </row>
    <row r="33" spans="1:26">
      <c r="A33" s="205">
        <v>40137</v>
      </c>
      <c r="B33" s="210" t="b">
        <f t="shared" si="4"/>
        <v>1</v>
      </c>
      <c r="C33" s="76">
        <v>0</v>
      </c>
      <c r="D33" s="76">
        <v>0</v>
      </c>
      <c r="E33" s="76">
        <v>0</v>
      </c>
      <c r="F33" s="76">
        <v>300156316.72514862</v>
      </c>
      <c r="G33" s="76">
        <v>111580858.22295488</v>
      </c>
      <c r="H33" s="76">
        <v>1222692036.645525</v>
      </c>
      <c r="I33" s="76">
        <v>777792860.05158138</v>
      </c>
      <c r="J33" s="76">
        <v>768500000</v>
      </c>
      <c r="K33" s="76">
        <v>0</v>
      </c>
      <c r="L33" s="76">
        <v>95018324.962671369</v>
      </c>
      <c r="M33" s="76">
        <v>20000000</v>
      </c>
      <c r="N33" s="76">
        <v>0</v>
      </c>
      <c r="O33" s="76">
        <v>64544590.742500335</v>
      </c>
      <c r="P33" s="76">
        <v>40000000</v>
      </c>
      <c r="Q33" s="76">
        <v>22651766.837813351</v>
      </c>
      <c r="R33" s="76">
        <v>129564273.10981403</v>
      </c>
      <c r="S33" s="76">
        <v>22000000</v>
      </c>
      <c r="T33" s="267">
        <f t="shared" si="5"/>
        <v>3574501027.2980089</v>
      </c>
      <c r="V33" s="206">
        <f t="shared" si="0"/>
        <v>3180722071.6452098</v>
      </c>
      <c r="W33" s="207">
        <f t="shared" si="1"/>
        <v>115018324.96267137</v>
      </c>
      <c r="X33" s="208">
        <f t="shared" si="2"/>
        <v>104544590.74250033</v>
      </c>
      <c r="Y33" s="208">
        <f t="shared" si="3"/>
        <v>174216039.9476274</v>
      </c>
      <c r="Z33" s="209">
        <f t="shared" si="6"/>
        <v>3574501027.2980089</v>
      </c>
    </row>
    <row r="34" spans="1:26">
      <c r="A34" s="205">
        <v>40167</v>
      </c>
      <c r="B34" s="210" t="b">
        <f t="shared" si="4"/>
        <v>0</v>
      </c>
      <c r="C34" s="76">
        <v>0</v>
      </c>
      <c r="D34" s="76">
        <v>0</v>
      </c>
      <c r="E34" s="76">
        <v>0</v>
      </c>
      <c r="F34" s="76">
        <v>300156316.72514862</v>
      </c>
      <c r="G34" s="76">
        <v>111580858.22295488</v>
      </c>
      <c r="H34" s="76">
        <v>1222692036.645525</v>
      </c>
      <c r="I34" s="76">
        <v>777792860.05158138</v>
      </c>
      <c r="J34" s="76">
        <v>768500000</v>
      </c>
      <c r="K34" s="76">
        <v>0</v>
      </c>
      <c r="L34" s="76">
        <v>95018324.962671369</v>
      </c>
      <c r="M34" s="76">
        <v>20000000</v>
      </c>
      <c r="N34" s="76">
        <v>0</v>
      </c>
      <c r="O34" s="76">
        <v>64544590.742500335</v>
      </c>
      <c r="P34" s="76">
        <v>40000000</v>
      </c>
      <c r="Q34" s="76">
        <v>22651766.837813351</v>
      </c>
      <c r="R34" s="76">
        <v>129564273.10981403</v>
      </c>
      <c r="S34" s="76">
        <v>22000000</v>
      </c>
      <c r="T34" s="267">
        <f t="shared" si="5"/>
        <v>3574501027.2980089</v>
      </c>
      <c r="V34" s="206">
        <f t="shared" si="0"/>
        <v>3180722071.6452098</v>
      </c>
      <c r="W34" s="207">
        <f t="shared" si="1"/>
        <v>115018324.96267137</v>
      </c>
      <c r="X34" s="208">
        <f t="shared" si="2"/>
        <v>104544590.74250033</v>
      </c>
      <c r="Y34" s="208">
        <f t="shared" si="3"/>
        <v>174216039.9476274</v>
      </c>
      <c r="Z34" s="209">
        <f t="shared" si="6"/>
        <v>3574501027.2980089</v>
      </c>
    </row>
    <row r="35" spans="1:26">
      <c r="A35" s="205">
        <v>40198</v>
      </c>
      <c r="B35" s="210" t="b">
        <f t="shared" si="4"/>
        <v>0</v>
      </c>
      <c r="C35" s="76">
        <v>0</v>
      </c>
      <c r="D35" s="76">
        <v>0</v>
      </c>
      <c r="E35" s="76">
        <v>0</v>
      </c>
      <c r="F35" s="76">
        <v>300156316.72514862</v>
      </c>
      <c r="G35" s="76">
        <v>111580858.22295488</v>
      </c>
      <c r="H35" s="76">
        <v>1222692036.645525</v>
      </c>
      <c r="I35" s="76">
        <v>777792860.05158138</v>
      </c>
      <c r="J35" s="76">
        <v>768500000</v>
      </c>
      <c r="K35" s="76">
        <v>0</v>
      </c>
      <c r="L35" s="76">
        <v>95018324.962671369</v>
      </c>
      <c r="M35" s="76">
        <v>20000000</v>
      </c>
      <c r="N35" s="76">
        <v>0</v>
      </c>
      <c r="O35" s="76">
        <v>64544590.742500335</v>
      </c>
      <c r="P35" s="76">
        <v>40000000</v>
      </c>
      <c r="Q35" s="76">
        <v>22651766.837813351</v>
      </c>
      <c r="R35" s="76">
        <v>129564273.10981403</v>
      </c>
      <c r="S35" s="76">
        <v>22000000</v>
      </c>
      <c r="T35" s="267">
        <f t="shared" si="5"/>
        <v>3574501027.2980089</v>
      </c>
      <c r="V35" s="206">
        <f t="shared" ref="V35:V69" si="7">SUM(C35:J35)</f>
        <v>3180722071.6452098</v>
      </c>
      <c r="W35" s="207">
        <f t="shared" ref="W35:W69" si="8">SUM(K35:M35)</f>
        <v>115018324.96267137</v>
      </c>
      <c r="X35" s="208">
        <f t="shared" ref="X35:X69" si="9">SUM(N35:P35)</f>
        <v>104544590.74250033</v>
      </c>
      <c r="Y35" s="208">
        <f t="shared" ref="Y35:Y69" si="10">SUM(Q35:S35)</f>
        <v>174216039.9476274</v>
      </c>
      <c r="Z35" s="209">
        <f t="shared" ref="Z35:Z66" si="11">SUM(V35:Y35)</f>
        <v>3574501027.2980089</v>
      </c>
    </row>
    <row r="36" spans="1:26">
      <c r="A36" s="205">
        <v>40231</v>
      </c>
      <c r="B36" s="210" t="b">
        <f t="shared" ref="B36:B67" si="12">MOD(MONTH(A36),3)=2</f>
        <v>1</v>
      </c>
      <c r="C36" s="76">
        <v>0</v>
      </c>
      <c r="D36" s="76">
        <v>0</v>
      </c>
      <c r="E36" s="76">
        <v>0</v>
      </c>
      <c r="F36" s="76">
        <v>159046443.54559273</v>
      </c>
      <c r="G36" s="76">
        <v>59124321.825871751</v>
      </c>
      <c r="H36" s="76">
        <v>1222692036.645525</v>
      </c>
      <c r="I36" s="76">
        <v>777792860.05158138</v>
      </c>
      <c r="J36" s="76">
        <v>768500000</v>
      </c>
      <c r="K36" s="211">
        <v>0</v>
      </c>
      <c r="L36" s="683">
        <v>50348187.977035195</v>
      </c>
      <c r="M36" s="683">
        <v>10597574.309337664</v>
      </c>
      <c r="N36" s="692">
        <v>0</v>
      </c>
      <c r="O36" s="683">
        <v>34200804.832971759</v>
      </c>
      <c r="P36" s="683">
        <v>21195148.618675329</v>
      </c>
      <c r="Q36" s="683">
        <v>12002689.115075883</v>
      </c>
      <c r="R36" s="683">
        <v>68653350.605828702</v>
      </c>
      <c r="S36" s="683">
        <v>11657331.740271432</v>
      </c>
      <c r="T36" s="267">
        <f t="shared" si="5"/>
        <v>3195810749.267767</v>
      </c>
      <c r="V36" s="206">
        <f t="shared" si="7"/>
        <v>2987155662.0685711</v>
      </c>
      <c r="W36" s="207">
        <f t="shared" si="8"/>
        <v>60945762.286372855</v>
      </c>
      <c r="X36" s="208">
        <f t="shared" si="9"/>
        <v>55395953.451647088</v>
      </c>
      <c r="Y36" s="208">
        <f t="shared" si="10"/>
        <v>92313371.461176023</v>
      </c>
      <c r="Z36" s="209">
        <f t="shared" si="11"/>
        <v>3195810749.267767</v>
      </c>
    </row>
    <row r="37" spans="1:26">
      <c r="A37" s="205">
        <v>40257</v>
      </c>
      <c r="B37" s="210" t="b">
        <f t="shared" si="12"/>
        <v>0</v>
      </c>
      <c r="C37" s="76">
        <v>0</v>
      </c>
      <c r="D37" s="76">
        <v>0</v>
      </c>
      <c r="E37" s="76">
        <v>0</v>
      </c>
      <c r="F37" s="76">
        <v>159046443.54559273</v>
      </c>
      <c r="G37" s="76">
        <v>59124321.825871751</v>
      </c>
      <c r="H37" s="76">
        <v>1222692036.645525</v>
      </c>
      <c r="I37" s="76">
        <v>777792860.05158138</v>
      </c>
      <c r="J37" s="76">
        <v>768500000</v>
      </c>
      <c r="K37" s="76">
        <v>0</v>
      </c>
      <c r="L37" s="185">
        <v>50348187.977035195</v>
      </c>
      <c r="M37" s="185">
        <v>10597574.309337664</v>
      </c>
      <c r="N37" s="185">
        <v>0</v>
      </c>
      <c r="O37" s="185">
        <v>34200804.832971759</v>
      </c>
      <c r="P37" s="185">
        <v>21195148.618675329</v>
      </c>
      <c r="Q37" s="185">
        <v>12002689.115075883</v>
      </c>
      <c r="R37" s="185">
        <v>68653350.605828702</v>
      </c>
      <c r="S37" s="185">
        <v>11657331.740271432</v>
      </c>
      <c r="T37" s="267">
        <f t="shared" si="5"/>
        <v>3195810749.267767</v>
      </c>
      <c r="V37" s="206">
        <f t="shared" si="7"/>
        <v>2987155662.0685711</v>
      </c>
      <c r="W37" s="207">
        <f t="shared" si="8"/>
        <v>60945762.286372855</v>
      </c>
      <c r="X37" s="208">
        <f t="shared" si="9"/>
        <v>55395953.451647088</v>
      </c>
      <c r="Y37" s="208">
        <f t="shared" si="10"/>
        <v>92313371.461176023</v>
      </c>
      <c r="Z37" s="209">
        <f t="shared" si="11"/>
        <v>3195810749.267767</v>
      </c>
    </row>
    <row r="38" spans="1:26">
      <c r="A38" s="205">
        <v>40288</v>
      </c>
      <c r="B38" s="210" t="b">
        <f t="shared" si="12"/>
        <v>0</v>
      </c>
      <c r="C38" s="76">
        <v>0</v>
      </c>
      <c r="D38" s="76">
        <v>0</v>
      </c>
      <c r="E38" s="76">
        <v>0</v>
      </c>
      <c r="F38" s="76">
        <v>159046443.54559273</v>
      </c>
      <c r="G38" s="76">
        <v>59124321.825871751</v>
      </c>
      <c r="H38" s="76">
        <v>1222692036.645525</v>
      </c>
      <c r="I38" s="76">
        <v>777792860.05158138</v>
      </c>
      <c r="J38" s="76">
        <v>768500000</v>
      </c>
      <c r="K38" s="76">
        <v>0</v>
      </c>
      <c r="L38" s="185">
        <v>50348187.977035195</v>
      </c>
      <c r="M38" s="185">
        <v>10597574.309337664</v>
      </c>
      <c r="N38" s="185">
        <v>0</v>
      </c>
      <c r="O38" s="185">
        <v>34200804.832971759</v>
      </c>
      <c r="P38" s="185">
        <v>21195148.618675329</v>
      </c>
      <c r="Q38" s="185">
        <v>12002689.115075883</v>
      </c>
      <c r="R38" s="185">
        <v>68653350.605828702</v>
      </c>
      <c r="S38" s="185">
        <v>11657331.740271432</v>
      </c>
      <c r="T38" s="267">
        <f t="shared" si="5"/>
        <v>3195810749.267767</v>
      </c>
      <c r="V38" s="206">
        <f t="shared" si="7"/>
        <v>2987155662.0685711</v>
      </c>
      <c r="W38" s="207">
        <f t="shared" si="8"/>
        <v>60945762.286372855</v>
      </c>
      <c r="X38" s="208">
        <f t="shared" si="9"/>
        <v>55395953.451647088</v>
      </c>
      <c r="Y38" s="208">
        <f t="shared" si="10"/>
        <v>92313371.461176023</v>
      </c>
      <c r="Z38" s="209">
        <f t="shared" si="11"/>
        <v>3195810749.267767</v>
      </c>
    </row>
    <row r="39" spans="1:26">
      <c r="A39" s="205">
        <v>40318</v>
      </c>
      <c r="B39" s="210" t="b">
        <f t="shared" si="12"/>
        <v>1</v>
      </c>
      <c r="C39" s="76">
        <v>0</v>
      </c>
      <c r="D39" s="76">
        <v>0</v>
      </c>
      <c r="E39" s="76">
        <v>0</v>
      </c>
      <c r="F39" s="76">
        <v>25592965.038525429</v>
      </c>
      <c r="G39" s="76">
        <v>9513992.6909606941</v>
      </c>
      <c r="H39" s="76">
        <v>1222692036.645525</v>
      </c>
      <c r="I39" s="76">
        <v>777792860.05158138</v>
      </c>
      <c r="J39" s="76">
        <v>768500000</v>
      </c>
      <c r="K39" s="76">
        <v>0</v>
      </c>
      <c r="L39" s="76">
        <v>0</v>
      </c>
      <c r="M39" s="76">
        <v>0</v>
      </c>
      <c r="N39" s="76">
        <v>0</v>
      </c>
      <c r="O39" s="76">
        <v>0</v>
      </c>
      <c r="P39" s="76">
        <v>0</v>
      </c>
      <c r="Q39" s="76">
        <v>0</v>
      </c>
      <c r="R39" s="76">
        <v>0</v>
      </c>
      <c r="S39" s="76">
        <v>0</v>
      </c>
      <c r="T39" s="267">
        <f t="shared" si="5"/>
        <v>2804091854.4265928</v>
      </c>
      <c r="V39" s="206">
        <f t="shared" si="7"/>
        <v>2804091854.4265928</v>
      </c>
      <c r="W39" s="207">
        <f t="shared" si="8"/>
        <v>0</v>
      </c>
      <c r="X39" s="208">
        <f t="shared" si="9"/>
        <v>0</v>
      </c>
      <c r="Y39" s="208">
        <f t="shared" si="10"/>
        <v>0</v>
      </c>
      <c r="Z39" s="209">
        <f t="shared" si="11"/>
        <v>2804091854.4265928</v>
      </c>
    </row>
    <row r="40" spans="1:26">
      <c r="A40" s="205">
        <v>40349</v>
      </c>
      <c r="B40" s="210" t="b">
        <f t="shared" si="12"/>
        <v>0</v>
      </c>
      <c r="C40" s="76">
        <v>0</v>
      </c>
      <c r="D40" s="76">
        <v>0</v>
      </c>
      <c r="E40" s="76">
        <v>0</v>
      </c>
      <c r="F40" s="76">
        <v>25592965.038525429</v>
      </c>
      <c r="G40" s="76">
        <v>9513992.6909606941</v>
      </c>
      <c r="H40" s="76">
        <v>1222692036.645525</v>
      </c>
      <c r="I40" s="76">
        <v>777792860.05158138</v>
      </c>
      <c r="J40" s="76">
        <v>768500000</v>
      </c>
      <c r="K40" s="76">
        <v>0</v>
      </c>
      <c r="L40" s="76">
        <v>0</v>
      </c>
      <c r="M40" s="76">
        <v>0</v>
      </c>
      <c r="N40" s="76">
        <v>0</v>
      </c>
      <c r="O40" s="76">
        <v>0</v>
      </c>
      <c r="P40" s="76">
        <v>0</v>
      </c>
      <c r="Q40" s="76">
        <v>0</v>
      </c>
      <c r="R40" s="76">
        <v>0</v>
      </c>
      <c r="S40" s="76">
        <v>0</v>
      </c>
      <c r="T40" s="267">
        <f t="shared" si="5"/>
        <v>2804091854.4265928</v>
      </c>
      <c r="V40" s="206">
        <f t="shared" si="7"/>
        <v>2804091854.4265928</v>
      </c>
      <c r="W40" s="207">
        <f t="shared" si="8"/>
        <v>0</v>
      </c>
      <c r="X40" s="208">
        <f t="shared" si="9"/>
        <v>0</v>
      </c>
      <c r="Y40" s="208">
        <f t="shared" si="10"/>
        <v>0</v>
      </c>
      <c r="Z40" s="209">
        <f t="shared" si="11"/>
        <v>2804091854.4265928</v>
      </c>
    </row>
    <row r="41" spans="1:26">
      <c r="A41" s="205">
        <v>40379</v>
      </c>
      <c r="B41" s="210" t="b">
        <f t="shared" si="12"/>
        <v>0</v>
      </c>
      <c r="C41" s="76">
        <v>0</v>
      </c>
      <c r="D41" s="76">
        <v>0</v>
      </c>
      <c r="E41" s="76">
        <v>0</v>
      </c>
      <c r="F41" s="76">
        <v>25592965.038525429</v>
      </c>
      <c r="G41" s="76">
        <v>9513992.6909606941</v>
      </c>
      <c r="H41" s="76">
        <v>1222692036.645525</v>
      </c>
      <c r="I41" s="76">
        <v>777792860.05158138</v>
      </c>
      <c r="J41" s="76">
        <v>768500000</v>
      </c>
      <c r="K41" s="76">
        <v>0</v>
      </c>
      <c r="L41" s="76">
        <v>0</v>
      </c>
      <c r="M41" s="76">
        <v>0</v>
      </c>
      <c r="N41" s="76">
        <v>0</v>
      </c>
      <c r="O41" s="76">
        <v>0</v>
      </c>
      <c r="P41" s="76">
        <v>0</v>
      </c>
      <c r="Q41" s="76">
        <v>0</v>
      </c>
      <c r="R41" s="76">
        <v>0</v>
      </c>
      <c r="S41" s="76">
        <v>0</v>
      </c>
      <c r="T41" s="267">
        <f t="shared" si="5"/>
        <v>2804091854.4265928</v>
      </c>
      <c r="V41" s="206">
        <f t="shared" si="7"/>
        <v>2804091854.4265928</v>
      </c>
      <c r="W41" s="207">
        <f t="shared" si="8"/>
        <v>0</v>
      </c>
      <c r="X41" s="208">
        <f t="shared" si="9"/>
        <v>0</v>
      </c>
      <c r="Y41" s="208">
        <f t="shared" si="10"/>
        <v>0</v>
      </c>
      <c r="Z41" s="209">
        <f t="shared" si="11"/>
        <v>2804091854.4265928</v>
      </c>
    </row>
    <row r="42" spans="1:26">
      <c r="A42" s="205">
        <v>40410</v>
      </c>
      <c r="B42" s="210" t="b">
        <f t="shared" si="12"/>
        <v>1</v>
      </c>
      <c r="C42" s="76">
        <v>0</v>
      </c>
      <c r="D42" s="76">
        <v>0</v>
      </c>
      <c r="E42" s="76">
        <v>0</v>
      </c>
      <c r="F42" s="76">
        <v>0</v>
      </c>
      <c r="G42" s="76">
        <v>0</v>
      </c>
      <c r="H42" s="76">
        <v>1161793828.0241573</v>
      </c>
      <c r="I42" s="76">
        <v>739053594.20539057</v>
      </c>
      <c r="J42" s="76">
        <v>730223580.49053931</v>
      </c>
      <c r="K42" s="76">
        <v>0</v>
      </c>
      <c r="L42" s="76">
        <v>0</v>
      </c>
      <c r="M42" s="76">
        <v>0</v>
      </c>
      <c r="N42" s="76">
        <v>0</v>
      </c>
      <c r="O42" s="76">
        <v>0</v>
      </c>
      <c r="P42" s="76">
        <v>0</v>
      </c>
      <c r="Q42" s="76">
        <v>0</v>
      </c>
      <c r="R42" s="76">
        <v>0</v>
      </c>
      <c r="S42" s="76">
        <v>0</v>
      </c>
      <c r="T42" s="267">
        <f t="shared" si="5"/>
        <v>2631071002.7200871</v>
      </c>
      <c r="V42" s="206">
        <f t="shared" si="7"/>
        <v>2631071002.7200871</v>
      </c>
      <c r="W42" s="207">
        <f t="shared" si="8"/>
        <v>0</v>
      </c>
      <c r="X42" s="208">
        <f t="shared" si="9"/>
        <v>0</v>
      </c>
      <c r="Y42" s="208">
        <f t="shared" si="10"/>
        <v>0</v>
      </c>
      <c r="Z42" s="209">
        <f t="shared" si="11"/>
        <v>2631071002.7200871</v>
      </c>
    </row>
    <row r="43" spans="1:26">
      <c r="A43" s="205">
        <v>40441</v>
      </c>
      <c r="B43" s="210" t="b">
        <f t="shared" si="12"/>
        <v>0</v>
      </c>
      <c r="C43" s="76">
        <v>0</v>
      </c>
      <c r="D43" s="76">
        <v>0</v>
      </c>
      <c r="E43" s="76">
        <v>0</v>
      </c>
      <c r="F43" s="76">
        <v>0</v>
      </c>
      <c r="G43" s="76">
        <v>0</v>
      </c>
      <c r="H43" s="76">
        <v>1161793828.0241573</v>
      </c>
      <c r="I43" s="76">
        <v>739053594.20539057</v>
      </c>
      <c r="J43" s="76">
        <v>730223580.49053931</v>
      </c>
      <c r="K43" s="76">
        <v>0</v>
      </c>
      <c r="L43" s="76">
        <v>0</v>
      </c>
      <c r="M43" s="76">
        <v>0</v>
      </c>
      <c r="N43" s="76">
        <v>0</v>
      </c>
      <c r="O43" s="76">
        <v>0</v>
      </c>
      <c r="P43" s="76">
        <v>0</v>
      </c>
      <c r="Q43" s="76">
        <v>0</v>
      </c>
      <c r="R43" s="76">
        <v>0</v>
      </c>
      <c r="S43" s="76">
        <v>0</v>
      </c>
      <c r="T43" s="267">
        <f t="shared" si="5"/>
        <v>2631071002.7200871</v>
      </c>
      <c r="V43" s="206">
        <f t="shared" si="7"/>
        <v>2631071002.7200871</v>
      </c>
      <c r="W43" s="207">
        <f t="shared" si="8"/>
        <v>0</v>
      </c>
      <c r="X43" s="208">
        <f t="shared" si="9"/>
        <v>0</v>
      </c>
      <c r="Y43" s="208">
        <f t="shared" si="10"/>
        <v>0</v>
      </c>
      <c r="Z43" s="209">
        <f t="shared" si="11"/>
        <v>2631071002.7200871</v>
      </c>
    </row>
    <row r="44" spans="1:26">
      <c r="A44" s="205">
        <v>40471</v>
      </c>
      <c r="B44" s="210" t="b">
        <f t="shared" si="12"/>
        <v>0</v>
      </c>
      <c r="C44" s="76">
        <v>0</v>
      </c>
      <c r="D44" s="76">
        <v>0</v>
      </c>
      <c r="E44" s="76">
        <v>0</v>
      </c>
      <c r="F44" s="76">
        <v>0</v>
      </c>
      <c r="G44" s="76">
        <v>0</v>
      </c>
      <c r="H44" s="76">
        <v>1161793828.0241573</v>
      </c>
      <c r="I44" s="76">
        <v>739053594.20539057</v>
      </c>
      <c r="J44" s="76">
        <v>730223580.49053931</v>
      </c>
      <c r="K44" s="76">
        <v>0</v>
      </c>
      <c r="L44" s="76">
        <v>0</v>
      </c>
      <c r="M44" s="76">
        <v>0</v>
      </c>
      <c r="N44" s="76">
        <v>0</v>
      </c>
      <c r="O44" s="76">
        <v>0</v>
      </c>
      <c r="P44" s="76">
        <v>0</v>
      </c>
      <c r="Q44" s="76">
        <v>0</v>
      </c>
      <c r="R44" s="76">
        <v>0</v>
      </c>
      <c r="S44" s="76">
        <v>0</v>
      </c>
      <c r="T44" s="267">
        <f t="shared" si="5"/>
        <v>2631071002.7200871</v>
      </c>
      <c r="V44" s="206">
        <f t="shared" si="7"/>
        <v>2631071002.7200871</v>
      </c>
      <c r="W44" s="207">
        <f t="shared" si="8"/>
        <v>0</v>
      </c>
      <c r="X44" s="208">
        <f t="shared" si="9"/>
        <v>0</v>
      </c>
      <c r="Y44" s="208">
        <f t="shared" si="10"/>
        <v>0</v>
      </c>
      <c r="Z44" s="209">
        <f t="shared" si="11"/>
        <v>2631071002.7200871</v>
      </c>
    </row>
    <row r="45" spans="1:26">
      <c r="A45" s="205">
        <v>40504</v>
      </c>
      <c r="B45" s="210" t="b">
        <f t="shared" si="12"/>
        <v>1</v>
      </c>
      <c r="C45" s="76">
        <v>0</v>
      </c>
      <c r="D45" s="76">
        <v>0</v>
      </c>
      <c r="E45" s="76">
        <v>0</v>
      </c>
      <c r="F45" s="76">
        <v>0</v>
      </c>
      <c r="G45" s="76">
        <v>0</v>
      </c>
      <c r="H45" s="76">
        <v>1089550611.9596109</v>
      </c>
      <c r="I45" s="76">
        <v>693097412.30669534</v>
      </c>
      <c r="J45" s="76">
        <v>684816470.70194447</v>
      </c>
      <c r="K45" s="76">
        <v>0</v>
      </c>
      <c r="L45" s="76">
        <v>0</v>
      </c>
      <c r="M45" s="76">
        <v>0</v>
      </c>
      <c r="N45" s="76">
        <v>0</v>
      </c>
      <c r="O45" s="76">
        <v>0</v>
      </c>
      <c r="P45" s="76">
        <v>0</v>
      </c>
      <c r="Q45" s="76">
        <v>0</v>
      </c>
      <c r="R45" s="76">
        <v>0</v>
      </c>
      <c r="S45" s="76">
        <v>0</v>
      </c>
      <c r="T45" s="267">
        <f t="shared" si="5"/>
        <v>2467464494.9682508</v>
      </c>
      <c r="V45" s="206">
        <f t="shared" si="7"/>
        <v>2467464494.9682508</v>
      </c>
      <c r="W45" s="207">
        <f t="shared" si="8"/>
        <v>0</v>
      </c>
      <c r="X45" s="208">
        <f t="shared" si="9"/>
        <v>0</v>
      </c>
      <c r="Y45" s="208">
        <f t="shared" si="10"/>
        <v>0</v>
      </c>
      <c r="Z45" s="209">
        <f t="shared" si="11"/>
        <v>2467464494.9682508</v>
      </c>
    </row>
    <row r="46" spans="1:26">
      <c r="A46" s="205">
        <v>40532</v>
      </c>
      <c r="B46" s="210" t="b">
        <f t="shared" si="12"/>
        <v>0</v>
      </c>
      <c r="C46" s="76">
        <v>0</v>
      </c>
      <c r="D46" s="76">
        <v>0</v>
      </c>
      <c r="E46" s="76">
        <v>0</v>
      </c>
      <c r="F46" s="76">
        <v>0</v>
      </c>
      <c r="G46" s="76">
        <v>0</v>
      </c>
      <c r="H46" s="76">
        <v>1089550611.9596109</v>
      </c>
      <c r="I46" s="76">
        <v>693097412.30669534</v>
      </c>
      <c r="J46" s="76">
        <v>684816470.70194447</v>
      </c>
      <c r="K46" s="76">
        <v>0</v>
      </c>
      <c r="L46" s="76">
        <v>0</v>
      </c>
      <c r="M46" s="76">
        <v>0</v>
      </c>
      <c r="N46" s="76">
        <v>0</v>
      </c>
      <c r="O46" s="76">
        <v>0</v>
      </c>
      <c r="P46" s="76">
        <v>0</v>
      </c>
      <c r="Q46" s="76">
        <v>0</v>
      </c>
      <c r="R46" s="76">
        <v>0</v>
      </c>
      <c r="S46" s="76">
        <v>0</v>
      </c>
      <c r="T46" s="267">
        <f t="shared" si="5"/>
        <v>2467464494.9682508</v>
      </c>
      <c r="V46" s="206">
        <f t="shared" si="7"/>
        <v>2467464494.9682508</v>
      </c>
      <c r="W46" s="207">
        <f t="shared" si="8"/>
        <v>0</v>
      </c>
      <c r="X46" s="208">
        <f t="shared" si="9"/>
        <v>0</v>
      </c>
      <c r="Y46" s="208">
        <f t="shared" si="10"/>
        <v>0</v>
      </c>
      <c r="Z46" s="209">
        <f t="shared" si="11"/>
        <v>2467464494.9682508</v>
      </c>
    </row>
    <row r="47" spans="1:26">
      <c r="A47" s="205">
        <v>40563</v>
      </c>
      <c r="B47" s="210" t="b">
        <f t="shared" si="12"/>
        <v>0</v>
      </c>
      <c r="C47" s="76">
        <v>0</v>
      </c>
      <c r="D47" s="76">
        <v>0</v>
      </c>
      <c r="E47" s="76">
        <v>0</v>
      </c>
      <c r="F47" s="76">
        <v>0</v>
      </c>
      <c r="G47" s="76">
        <v>0</v>
      </c>
      <c r="H47" s="76">
        <v>1089550611.9596109</v>
      </c>
      <c r="I47" s="76">
        <v>693097412.30669534</v>
      </c>
      <c r="J47" s="76">
        <v>684816470.70194447</v>
      </c>
      <c r="K47" s="76">
        <v>0</v>
      </c>
      <c r="L47" s="76">
        <v>0</v>
      </c>
      <c r="M47" s="76">
        <v>0</v>
      </c>
      <c r="N47" s="76">
        <v>0</v>
      </c>
      <c r="O47" s="76">
        <v>0</v>
      </c>
      <c r="P47" s="76">
        <v>0</v>
      </c>
      <c r="Q47" s="76">
        <v>0</v>
      </c>
      <c r="R47" s="76">
        <v>0</v>
      </c>
      <c r="S47" s="76">
        <v>0</v>
      </c>
      <c r="T47" s="267">
        <f t="shared" si="5"/>
        <v>2467464494.9682508</v>
      </c>
      <c r="V47" s="206">
        <f t="shared" si="7"/>
        <v>2467464494.9682508</v>
      </c>
      <c r="W47" s="207">
        <f t="shared" si="8"/>
        <v>0</v>
      </c>
      <c r="X47" s="208">
        <f t="shared" si="9"/>
        <v>0</v>
      </c>
      <c r="Y47" s="208">
        <f t="shared" si="10"/>
        <v>0</v>
      </c>
      <c r="Z47" s="209">
        <f t="shared" si="11"/>
        <v>2467464494.9682508</v>
      </c>
    </row>
    <row r="48" spans="1:26">
      <c r="A48" s="205">
        <v>40594</v>
      </c>
      <c r="B48" s="210" t="b">
        <f t="shared" si="12"/>
        <v>1</v>
      </c>
      <c r="C48" s="76">
        <v>0</v>
      </c>
      <c r="D48" s="76">
        <v>0</v>
      </c>
      <c r="E48" s="76">
        <v>0</v>
      </c>
      <c r="F48" s="76">
        <v>0</v>
      </c>
      <c r="G48" s="76">
        <v>0</v>
      </c>
      <c r="H48" s="76">
        <v>1021227196.559163</v>
      </c>
      <c r="I48" s="76">
        <v>649634738.89418089</v>
      </c>
      <c r="J48" s="76">
        <v>641873077.63029516</v>
      </c>
      <c r="K48" s="76">
        <v>0</v>
      </c>
      <c r="L48" s="76">
        <v>0</v>
      </c>
      <c r="M48" s="76">
        <v>0</v>
      </c>
      <c r="N48" s="76">
        <v>0</v>
      </c>
      <c r="O48" s="76">
        <v>0</v>
      </c>
      <c r="P48" s="76">
        <v>0</v>
      </c>
      <c r="Q48" s="76">
        <v>0</v>
      </c>
      <c r="R48" s="76">
        <v>0</v>
      </c>
      <c r="S48" s="76">
        <v>0</v>
      </c>
      <c r="T48" s="267">
        <f t="shared" si="5"/>
        <v>2312735013.0836391</v>
      </c>
      <c r="V48" s="206">
        <f t="shared" si="7"/>
        <v>2312735013.0836391</v>
      </c>
      <c r="W48" s="207">
        <f t="shared" si="8"/>
        <v>0</v>
      </c>
      <c r="X48" s="208">
        <f t="shared" si="9"/>
        <v>0</v>
      </c>
      <c r="Y48" s="208">
        <f t="shared" si="10"/>
        <v>0</v>
      </c>
      <c r="Z48" s="209">
        <f t="shared" si="11"/>
        <v>2312735013.0836391</v>
      </c>
    </row>
    <row r="49" spans="1:26">
      <c r="A49" s="205">
        <v>40622</v>
      </c>
      <c r="B49" s="210" t="b">
        <f t="shared" si="12"/>
        <v>0</v>
      </c>
      <c r="C49" s="76">
        <v>0</v>
      </c>
      <c r="D49" s="76">
        <v>0</v>
      </c>
      <c r="E49" s="76">
        <v>0</v>
      </c>
      <c r="F49" s="76">
        <v>0</v>
      </c>
      <c r="G49" s="76">
        <v>0</v>
      </c>
      <c r="H49" s="76">
        <v>1021227196.559163</v>
      </c>
      <c r="I49" s="76">
        <v>649634738.89418089</v>
      </c>
      <c r="J49" s="76">
        <v>641873077.63029516</v>
      </c>
      <c r="K49" s="76">
        <v>0</v>
      </c>
      <c r="L49" s="76">
        <v>0</v>
      </c>
      <c r="M49" s="76">
        <v>0</v>
      </c>
      <c r="N49" s="76">
        <v>0</v>
      </c>
      <c r="O49" s="76">
        <v>0</v>
      </c>
      <c r="P49" s="76">
        <v>0</v>
      </c>
      <c r="Q49" s="76">
        <v>0</v>
      </c>
      <c r="R49" s="76">
        <v>0</v>
      </c>
      <c r="S49" s="76">
        <v>0</v>
      </c>
      <c r="T49" s="267">
        <f t="shared" si="5"/>
        <v>2312735013.0836391</v>
      </c>
      <c r="V49" s="206">
        <f t="shared" si="7"/>
        <v>2312735013.0836391</v>
      </c>
      <c r="W49" s="207">
        <f t="shared" si="8"/>
        <v>0</v>
      </c>
      <c r="X49" s="208">
        <f t="shared" si="9"/>
        <v>0</v>
      </c>
      <c r="Y49" s="208">
        <f t="shared" si="10"/>
        <v>0</v>
      </c>
      <c r="Z49" s="209">
        <f t="shared" si="11"/>
        <v>2312735013.0836391</v>
      </c>
    </row>
    <row r="50" spans="1:26">
      <c r="A50" s="205">
        <v>40653</v>
      </c>
      <c r="B50" s="210" t="b">
        <f t="shared" si="12"/>
        <v>0</v>
      </c>
      <c r="C50" s="76">
        <v>0</v>
      </c>
      <c r="D50" s="76">
        <v>0</v>
      </c>
      <c r="E50" s="76">
        <v>0</v>
      </c>
      <c r="F50" s="76">
        <v>0</v>
      </c>
      <c r="G50" s="76">
        <v>0</v>
      </c>
      <c r="H50" s="76">
        <v>1021227196.559163</v>
      </c>
      <c r="I50" s="76">
        <v>649634738.89418089</v>
      </c>
      <c r="J50" s="76">
        <v>641873077.63029516</v>
      </c>
      <c r="K50" s="76">
        <v>0</v>
      </c>
      <c r="L50" s="76">
        <v>0</v>
      </c>
      <c r="M50" s="76">
        <v>0</v>
      </c>
      <c r="N50" s="76">
        <v>0</v>
      </c>
      <c r="O50" s="76">
        <v>0</v>
      </c>
      <c r="P50" s="76">
        <v>0</v>
      </c>
      <c r="Q50" s="76">
        <v>0</v>
      </c>
      <c r="R50" s="76">
        <v>0</v>
      </c>
      <c r="S50" s="76">
        <v>0</v>
      </c>
      <c r="T50" s="267">
        <f t="shared" si="5"/>
        <v>2312735013.0836391</v>
      </c>
      <c r="V50" s="206">
        <f t="shared" si="7"/>
        <v>2312735013.0836391</v>
      </c>
      <c r="W50" s="207">
        <f t="shared" si="8"/>
        <v>0</v>
      </c>
      <c r="X50" s="208">
        <f t="shared" si="9"/>
        <v>0</v>
      </c>
      <c r="Y50" s="208">
        <f t="shared" si="10"/>
        <v>0</v>
      </c>
      <c r="Z50" s="209">
        <f t="shared" si="11"/>
        <v>2312735013.0836391</v>
      </c>
    </row>
    <row r="51" spans="1:26">
      <c r="A51" s="205">
        <v>40683</v>
      </c>
      <c r="B51" s="210" t="b">
        <f t="shared" si="12"/>
        <v>1</v>
      </c>
      <c r="C51" s="76">
        <v>0</v>
      </c>
      <c r="D51" s="76">
        <v>0</v>
      </c>
      <c r="E51" s="76">
        <v>0</v>
      </c>
      <c r="F51" s="76">
        <v>0</v>
      </c>
      <c r="G51" s="76">
        <v>0</v>
      </c>
      <c r="H51" s="76">
        <v>956610899.74575102</v>
      </c>
      <c r="I51" s="76">
        <v>608530280.20944989</v>
      </c>
      <c r="J51" s="76">
        <v>601259723.97065771</v>
      </c>
      <c r="K51" s="76">
        <v>0</v>
      </c>
      <c r="L51" s="76">
        <v>0</v>
      </c>
      <c r="M51" s="76">
        <v>0</v>
      </c>
      <c r="N51" s="76">
        <v>0</v>
      </c>
      <c r="O51" s="76">
        <v>0</v>
      </c>
      <c r="P51" s="76">
        <v>0</v>
      </c>
      <c r="Q51" s="76">
        <v>0</v>
      </c>
      <c r="R51" s="76">
        <v>0</v>
      </c>
      <c r="S51" s="76">
        <v>0</v>
      </c>
      <c r="T51" s="267">
        <f t="shared" si="5"/>
        <v>2166400903.9258585</v>
      </c>
      <c r="V51" s="206">
        <f t="shared" si="7"/>
        <v>2166400903.9258585</v>
      </c>
      <c r="W51" s="207">
        <f t="shared" si="8"/>
        <v>0</v>
      </c>
      <c r="X51" s="208">
        <f t="shared" si="9"/>
        <v>0</v>
      </c>
      <c r="Y51" s="208">
        <f t="shared" si="10"/>
        <v>0</v>
      </c>
      <c r="Z51" s="209">
        <f t="shared" si="11"/>
        <v>2166400903.9258585</v>
      </c>
    </row>
    <row r="52" spans="1:26">
      <c r="A52" s="205">
        <v>40714</v>
      </c>
      <c r="B52" s="210" t="b">
        <f t="shared" si="12"/>
        <v>0</v>
      </c>
      <c r="C52" s="76">
        <v>0</v>
      </c>
      <c r="D52" s="76">
        <v>0</v>
      </c>
      <c r="E52" s="76">
        <v>0</v>
      </c>
      <c r="F52" s="76">
        <v>0</v>
      </c>
      <c r="G52" s="76">
        <v>0</v>
      </c>
      <c r="H52" s="76">
        <v>956610899.74575102</v>
      </c>
      <c r="I52" s="76">
        <v>608530280.20944989</v>
      </c>
      <c r="J52" s="76">
        <v>601259723.97065771</v>
      </c>
      <c r="K52" s="76">
        <v>0</v>
      </c>
      <c r="L52" s="76">
        <v>0</v>
      </c>
      <c r="M52" s="76">
        <v>0</v>
      </c>
      <c r="N52" s="76">
        <v>0</v>
      </c>
      <c r="O52" s="76">
        <v>0</v>
      </c>
      <c r="P52" s="76">
        <v>0</v>
      </c>
      <c r="Q52" s="76">
        <v>0</v>
      </c>
      <c r="R52" s="76">
        <v>0</v>
      </c>
      <c r="S52" s="76">
        <v>0</v>
      </c>
      <c r="T52" s="267">
        <f t="shared" si="5"/>
        <v>2166400903.9258585</v>
      </c>
      <c r="V52" s="206">
        <f t="shared" si="7"/>
        <v>2166400903.9258585</v>
      </c>
      <c r="W52" s="207">
        <f t="shared" si="8"/>
        <v>0</v>
      </c>
      <c r="X52" s="208">
        <f t="shared" si="9"/>
        <v>0</v>
      </c>
      <c r="Y52" s="208">
        <f t="shared" si="10"/>
        <v>0</v>
      </c>
      <c r="Z52" s="209">
        <f t="shared" si="11"/>
        <v>2166400903.9258585</v>
      </c>
    </row>
    <row r="53" spans="1:26">
      <c r="A53" s="205">
        <v>40744</v>
      </c>
      <c r="B53" s="210" t="b">
        <f t="shared" si="12"/>
        <v>0</v>
      </c>
      <c r="C53" s="76">
        <v>0</v>
      </c>
      <c r="D53" s="76">
        <v>0</v>
      </c>
      <c r="E53" s="76">
        <v>0</v>
      </c>
      <c r="F53" s="76">
        <v>0</v>
      </c>
      <c r="G53" s="76">
        <v>0</v>
      </c>
      <c r="H53" s="76">
        <v>956610899.74575102</v>
      </c>
      <c r="I53" s="76">
        <v>608530280.20944989</v>
      </c>
      <c r="J53" s="76">
        <v>601259723.97065771</v>
      </c>
      <c r="K53" s="76">
        <v>0</v>
      </c>
      <c r="L53" s="76">
        <v>0</v>
      </c>
      <c r="M53" s="76">
        <v>0</v>
      </c>
      <c r="N53" s="76">
        <v>0</v>
      </c>
      <c r="O53" s="76">
        <v>0</v>
      </c>
      <c r="P53" s="76">
        <v>0</v>
      </c>
      <c r="Q53" s="76">
        <v>0</v>
      </c>
      <c r="R53" s="76">
        <v>0</v>
      </c>
      <c r="S53" s="76">
        <v>0</v>
      </c>
      <c r="T53" s="267">
        <f t="shared" si="5"/>
        <v>2166400903.9258585</v>
      </c>
      <c r="V53" s="206">
        <f t="shared" si="7"/>
        <v>2166400903.9258585</v>
      </c>
      <c r="W53" s="207">
        <f t="shared" si="8"/>
        <v>0</v>
      </c>
      <c r="X53" s="208">
        <f t="shared" si="9"/>
        <v>0</v>
      </c>
      <c r="Y53" s="208">
        <f t="shared" si="10"/>
        <v>0</v>
      </c>
      <c r="Z53" s="209">
        <f t="shared" si="11"/>
        <v>2166400903.9258585</v>
      </c>
    </row>
    <row r="54" spans="1:26">
      <c r="A54" s="205">
        <v>40777</v>
      </c>
      <c r="B54" s="210" t="b">
        <f t="shared" si="12"/>
        <v>1</v>
      </c>
      <c r="C54" s="76">
        <v>0</v>
      </c>
      <c r="D54" s="76">
        <v>0</v>
      </c>
      <c r="E54" s="76">
        <v>0</v>
      </c>
      <c r="F54" s="76">
        <v>0</v>
      </c>
      <c r="G54" s="76">
        <v>0</v>
      </c>
      <c r="H54" s="76">
        <v>895500579.22960794</v>
      </c>
      <c r="I54" s="76">
        <v>569656083.31574774</v>
      </c>
      <c r="J54" s="76">
        <v>562849985.53357708</v>
      </c>
      <c r="K54" s="76">
        <v>0</v>
      </c>
      <c r="L54" s="76">
        <v>0</v>
      </c>
      <c r="M54" s="76">
        <v>0</v>
      </c>
      <c r="N54" s="76">
        <v>0</v>
      </c>
      <c r="O54" s="76">
        <v>0</v>
      </c>
      <c r="P54" s="76">
        <v>0</v>
      </c>
      <c r="Q54" s="76">
        <v>0</v>
      </c>
      <c r="R54" s="76">
        <v>0</v>
      </c>
      <c r="S54" s="76">
        <v>0</v>
      </c>
      <c r="T54" s="267">
        <f t="shared" si="5"/>
        <v>2028006648.0789328</v>
      </c>
      <c r="V54" s="206">
        <f t="shared" si="7"/>
        <v>2028006648.0789328</v>
      </c>
      <c r="W54" s="207">
        <f t="shared" si="8"/>
        <v>0</v>
      </c>
      <c r="X54" s="208">
        <f t="shared" si="9"/>
        <v>0</v>
      </c>
      <c r="Y54" s="208">
        <f t="shared" si="10"/>
        <v>0</v>
      </c>
      <c r="Z54" s="209">
        <f t="shared" si="11"/>
        <v>2028006648.0789328</v>
      </c>
    </row>
    <row r="55" spans="1:26">
      <c r="A55" s="205">
        <v>40806</v>
      </c>
      <c r="B55" s="210" t="b">
        <f t="shared" si="12"/>
        <v>0</v>
      </c>
      <c r="C55" s="76">
        <v>0</v>
      </c>
      <c r="D55" s="76">
        <v>0</v>
      </c>
      <c r="E55" s="76">
        <v>0</v>
      </c>
      <c r="F55" s="76">
        <v>0</v>
      </c>
      <c r="G55" s="76">
        <v>0</v>
      </c>
      <c r="H55" s="76">
        <v>895500579.22960794</v>
      </c>
      <c r="I55" s="76">
        <v>569656083.31574774</v>
      </c>
      <c r="J55" s="76">
        <v>562849985.53357708</v>
      </c>
      <c r="K55" s="76">
        <v>0</v>
      </c>
      <c r="L55" s="76">
        <v>0</v>
      </c>
      <c r="M55" s="76">
        <v>0</v>
      </c>
      <c r="N55" s="76">
        <v>0</v>
      </c>
      <c r="O55" s="76">
        <v>0</v>
      </c>
      <c r="P55" s="76">
        <v>0</v>
      </c>
      <c r="Q55" s="76">
        <v>0</v>
      </c>
      <c r="R55" s="76">
        <v>0</v>
      </c>
      <c r="S55" s="76">
        <v>0</v>
      </c>
      <c r="T55" s="267">
        <f t="shared" si="5"/>
        <v>2028006648.0789328</v>
      </c>
      <c r="V55" s="206">
        <f t="shared" si="7"/>
        <v>2028006648.0789328</v>
      </c>
      <c r="W55" s="207">
        <f t="shared" si="8"/>
        <v>0</v>
      </c>
      <c r="X55" s="208">
        <f t="shared" si="9"/>
        <v>0</v>
      </c>
      <c r="Y55" s="208">
        <f t="shared" si="10"/>
        <v>0</v>
      </c>
      <c r="Z55" s="209">
        <f t="shared" si="11"/>
        <v>2028006648.0789328</v>
      </c>
    </row>
    <row r="56" spans="1:26">
      <c r="A56" s="205">
        <v>40836</v>
      </c>
      <c r="B56" s="210" t="b">
        <f t="shared" si="12"/>
        <v>0</v>
      </c>
      <c r="C56" s="76">
        <v>0</v>
      </c>
      <c r="D56" s="76">
        <v>0</v>
      </c>
      <c r="E56" s="76">
        <v>0</v>
      </c>
      <c r="F56" s="76">
        <v>0</v>
      </c>
      <c r="G56" s="76">
        <v>0</v>
      </c>
      <c r="H56" s="888">
        <v>895500579.22960794</v>
      </c>
      <c r="I56" s="888">
        <v>569656083.31574774</v>
      </c>
      <c r="J56" s="888">
        <v>562849985.53357708</v>
      </c>
      <c r="K56" s="76">
        <v>0</v>
      </c>
      <c r="L56" s="76">
        <v>0</v>
      </c>
      <c r="M56" s="76">
        <v>0</v>
      </c>
      <c r="N56" s="76">
        <v>0</v>
      </c>
      <c r="O56" s="76">
        <v>0</v>
      </c>
      <c r="P56" s="76">
        <v>0</v>
      </c>
      <c r="Q56" s="76">
        <v>0</v>
      </c>
      <c r="R56" s="76">
        <v>0</v>
      </c>
      <c r="S56" s="76">
        <v>0</v>
      </c>
      <c r="T56" s="267">
        <f t="shared" si="5"/>
        <v>2028006648.0789328</v>
      </c>
      <c r="V56" s="206">
        <f t="shared" si="7"/>
        <v>2028006648.0789328</v>
      </c>
      <c r="W56" s="207">
        <f t="shared" si="8"/>
        <v>0</v>
      </c>
      <c r="X56" s="208">
        <f t="shared" si="9"/>
        <v>0</v>
      </c>
      <c r="Y56" s="208">
        <f t="shared" si="10"/>
        <v>0</v>
      </c>
      <c r="Z56" s="209">
        <f t="shared" si="11"/>
        <v>2028006648.0789328</v>
      </c>
    </row>
    <row r="57" spans="1:26">
      <c r="A57" s="205">
        <v>40868</v>
      </c>
      <c r="B57" s="210" t="b">
        <f t="shared" si="12"/>
        <v>1</v>
      </c>
      <c r="C57" s="76">
        <v>0</v>
      </c>
      <c r="D57" s="76">
        <v>0</v>
      </c>
      <c r="E57" s="76">
        <v>0</v>
      </c>
      <c r="F57" s="76">
        <v>0</v>
      </c>
      <c r="G57" s="76">
        <v>0</v>
      </c>
      <c r="H57" s="76">
        <v>837706006.37797093</v>
      </c>
      <c r="I57" s="76">
        <v>532891137.79679167</v>
      </c>
      <c r="J57" s="76">
        <v>526524297.70270139</v>
      </c>
      <c r="K57" s="76">
        <v>0</v>
      </c>
      <c r="L57" s="76">
        <v>0</v>
      </c>
      <c r="M57" s="76">
        <v>0</v>
      </c>
      <c r="N57" s="76">
        <v>0</v>
      </c>
      <c r="O57" s="76">
        <v>0</v>
      </c>
      <c r="P57" s="76">
        <v>0</v>
      </c>
      <c r="Q57" s="76">
        <v>0</v>
      </c>
      <c r="R57" s="76">
        <v>0</v>
      </c>
      <c r="S57" s="76">
        <v>0</v>
      </c>
      <c r="T57" s="267">
        <f t="shared" si="5"/>
        <v>1897121441.8774641</v>
      </c>
      <c r="V57" s="206">
        <f t="shared" si="7"/>
        <v>1897121441.8774641</v>
      </c>
      <c r="W57" s="207">
        <f t="shared" si="8"/>
        <v>0</v>
      </c>
      <c r="X57" s="208">
        <f t="shared" si="9"/>
        <v>0</v>
      </c>
      <c r="Y57" s="208">
        <f t="shared" si="10"/>
        <v>0</v>
      </c>
      <c r="Z57" s="209">
        <f t="shared" si="11"/>
        <v>1897121441.8774641</v>
      </c>
    </row>
    <row r="58" spans="1:26">
      <c r="A58" s="205">
        <v>40897</v>
      </c>
      <c r="B58" s="210" t="b">
        <f t="shared" si="12"/>
        <v>0</v>
      </c>
      <c r="C58" s="76">
        <v>0</v>
      </c>
      <c r="D58" s="76">
        <v>0</v>
      </c>
      <c r="E58" s="76">
        <v>0</v>
      </c>
      <c r="F58" s="76">
        <v>0</v>
      </c>
      <c r="G58" s="76">
        <v>0</v>
      </c>
      <c r="H58" s="76">
        <v>837706006.37797093</v>
      </c>
      <c r="I58" s="76">
        <v>532891137.79679167</v>
      </c>
      <c r="J58" s="76">
        <v>526524297.70270139</v>
      </c>
      <c r="K58" s="76">
        <v>0</v>
      </c>
      <c r="L58" s="76">
        <v>0</v>
      </c>
      <c r="M58" s="76">
        <v>0</v>
      </c>
      <c r="N58" s="76">
        <v>0</v>
      </c>
      <c r="O58" s="76">
        <v>0</v>
      </c>
      <c r="P58" s="76">
        <v>0</v>
      </c>
      <c r="Q58" s="76">
        <v>0</v>
      </c>
      <c r="R58" s="76">
        <v>0</v>
      </c>
      <c r="S58" s="76">
        <v>0</v>
      </c>
      <c r="T58" s="267">
        <f t="shared" si="5"/>
        <v>1897121441.8774641</v>
      </c>
      <c r="V58" s="206">
        <f t="shared" si="7"/>
        <v>1897121441.8774641</v>
      </c>
      <c r="W58" s="207">
        <f t="shared" si="8"/>
        <v>0</v>
      </c>
      <c r="X58" s="208">
        <f t="shared" si="9"/>
        <v>0</v>
      </c>
      <c r="Y58" s="208">
        <f t="shared" si="10"/>
        <v>0</v>
      </c>
      <c r="Z58" s="209">
        <f t="shared" si="11"/>
        <v>1897121441.8774641</v>
      </c>
    </row>
    <row r="59" spans="1:26">
      <c r="A59" s="205">
        <v>40928</v>
      </c>
      <c r="B59" s="210" t="b">
        <f t="shared" si="12"/>
        <v>0</v>
      </c>
      <c r="C59" s="76">
        <v>0</v>
      </c>
      <c r="D59" s="76">
        <v>0</v>
      </c>
      <c r="E59" s="76">
        <v>0</v>
      </c>
      <c r="F59" s="76">
        <v>0</v>
      </c>
      <c r="G59" s="76">
        <v>0</v>
      </c>
      <c r="H59" s="76">
        <v>837706006.37797093</v>
      </c>
      <c r="I59" s="76">
        <v>532891137.79679167</v>
      </c>
      <c r="J59" s="76">
        <v>526524297.70270139</v>
      </c>
      <c r="K59" s="76">
        <v>0</v>
      </c>
      <c r="L59" s="76">
        <v>0</v>
      </c>
      <c r="M59" s="76">
        <v>0</v>
      </c>
      <c r="N59" s="76">
        <v>0</v>
      </c>
      <c r="O59" s="76">
        <v>0</v>
      </c>
      <c r="P59" s="76">
        <v>0</v>
      </c>
      <c r="Q59" s="76">
        <v>0</v>
      </c>
      <c r="R59" s="76">
        <v>0</v>
      </c>
      <c r="S59" s="76">
        <v>0</v>
      </c>
      <c r="T59" s="267">
        <f t="shared" si="5"/>
        <v>1897121441.8774641</v>
      </c>
      <c r="V59" s="206">
        <f t="shared" si="7"/>
        <v>1897121441.8774641</v>
      </c>
      <c r="W59" s="207">
        <f t="shared" si="8"/>
        <v>0</v>
      </c>
      <c r="X59" s="208">
        <f t="shared" si="9"/>
        <v>0</v>
      </c>
      <c r="Y59" s="208">
        <f t="shared" si="10"/>
        <v>0</v>
      </c>
      <c r="Z59" s="209">
        <f t="shared" si="11"/>
        <v>1897121441.8774641</v>
      </c>
    </row>
    <row r="60" spans="1:26">
      <c r="A60" s="205">
        <v>40960</v>
      </c>
      <c r="B60" s="210" t="b">
        <f t="shared" si="12"/>
        <v>1</v>
      </c>
      <c r="C60" s="76">
        <v>0</v>
      </c>
      <c r="D60" s="76">
        <v>0</v>
      </c>
      <c r="E60" s="76">
        <v>0</v>
      </c>
      <c r="F60" s="76">
        <v>0</v>
      </c>
      <c r="G60" s="76">
        <v>0</v>
      </c>
      <c r="H60" s="76">
        <v>783047274.05761254</v>
      </c>
      <c r="I60" s="76">
        <v>498120999.06677997</v>
      </c>
      <c r="J60" s="76">
        <v>492169583.24538183</v>
      </c>
      <c r="K60" s="76">
        <v>0</v>
      </c>
      <c r="L60" s="76">
        <v>0</v>
      </c>
      <c r="M60" s="76">
        <v>0</v>
      </c>
      <c r="N60" s="76">
        <v>0</v>
      </c>
      <c r="O60" s="76">
        <v>0</v>
      </c>
      <c r="P60" s="76">
        <v>0</v>
      </c>
      <c r="Q60" s="76">
        <v>0</v>
      </c>
      <c r="R60" s="76">
        <v>0</v>
      </c>
      <c r="S60" s="76">
        <v>0</v>
      </c>
      <c r="T60" s="267">
        <f t="shared" si="5"/>
        <v>1773337856.3697743</v>
      </c>
      <c r="V60" s="206">
        <f t="shared" si="7"/>
        <v>1773337856.3697743</v>
      </c>
      <c r="W60" s="207">
        <f t="shared" si="8"/>
        <v>0</v>
      </c>
      <c r="X60" s="208">
        <f t="shared" si="9"/>
        <v>0</v>
      </c>
      <c r="Y60" s="208">
        <f t="shared" si="10"/>
        <v>0</v>
      </c>
      <c r="Z60" s="209">
        <f t="shared" si="11"/>
        <v>1773337856.3697743</v>
      </c>
    </row>
    <row r="61" spans="1:26">
      <c r="A61" s="205">
        <v>40988</v>
      </c>
      <c r="B61" s="210" t="b">
        <f t="shared" si="12"/>
        <v>0</v>
      </c>
      <c r="C61" s="76">
        <v>0</v>
      </c>
      <c r="D61" s="76">
        <v>0</v>
      </c>
      <c r="E61" s="76">
        <v>0</v>
      </c>
      <c r="F61" s="76">
        <v>0</v>
      </c>
      <c r="G61" s="76">
        <v>0</v>
      </c>
      <c r="H61" s="76">
        <v>783047274.05761254</v>
      </c>
      <c r="I61" s="76">
        <v>498120999.06677997</v>
      </c>
      <c r="J61" s="76">
        <v>492169583.24538183</v>
      </c>
      <c r="K61" s="76">
        <v>0</v>
      </c>
      <c r="L61" s="76">
        <v>0</v>
      </c>
      <c r="M61" s="76">
        <v>0</v>
      </c>
      <c r="N61" s="76">
        <v>0</v>
      </c>
      <c r="O61" s="76">
        <v>0</v>
      </c>
      <c r="P61" s="76">
        <v>0</v>
      </c>
      <c r="Q61" s="76">
        <v>0</v>
      </c>
      <c r="R61" s="76">
        <v>0</v>
      </c>
      <c r="S61" s="76">
        <v>0</v>
      </c>
      <c r="T61" s="267">
        <f t="shared" si="5"/>
        <v>1773337856.3697743</v>
      </c>
      <c r="V61" s="206">
        <f t="shared" si="7"/>
        <v>1773337856.3697743</v>
      </c>
      <c r="W61" s="207">
        <f t="shared" si="8"/>
        <v>0</v>
      </c>
      <c r="X61" s="208">
        <f t="shared" si="9"/>
        <v>0</v>
      </c>
      <c r="Y61" s="208">
        <f t="shared" si="10"/>
        <v>0</v>
      </c>
      <c r="Z61" s="209">
        <f t="shared" si="11"/>
        <v>1773337856.3697743</v>
      </c>
    </row>
    <row r="62" spans="1:26">
      <c r="A62" s="205">
        <v>41019</v>
      </c>
      <c r="B62" s="210" t="b">
        <f t="shared" si="12"/>
        <v>0</v>
      </c>
      <c r="C62" s="76">
        <v>0</v>
      </c>
      <c r="D62" s="76">
        <v>0</v>
      </c>
      <c r="E62" s="76">
        <v>0</v>
      </c>
      <c r="F62" s="76">
        <v>0</v>
      </c>
      <c r="G62" s="76">
        <v>0</v>
      </c>
      <c r="H62" s="76">
        <v>783047274.05761254</v>
      </c>
      <c r="I62" s="76">
        <v>498120999.06677997</v>
      </c>
      <c r="J62" s="76">
        <v>492169583.24538183</v>
      </c>
      <c r="K62" s="76">
        <v>0</v>
      </c>
      <c r="L62" s="76">
        <v>0</v>
      </c>
      <c r="M62" s="76">
        <v>0</v>
      </c>
      <c r="N62" s="76">
        <v>0</v>
      </c>
      <c r="O62" s="76">
        <v>0</v>
      </c>
      <c r="P62" s="76">
        <v>0</v>
      </c>
      <c r="Q62" s="76">
        <v>0</v>
      </c>
      <c r="R62" s="76">
        <v>0</v>
      </c>
      <c r="S62" s="76">
        <v>0</v>
      </c>
      <c r="T62" s="267">
        <f t="shared" si="5"/>
        <v>1773337856.3697743</v>
      </c>
      <c r="V62" s="206">
        <f t="shared" si="7"/>
        <v>1773337856.3697743</v>
      </c>
      <c r="W62" s="207">
        <f t="shared" si="8"/>
        <v>0</v>
      </c>
      <c r="X62" s="208">
        <f t="shared" si="9"/>
        <v>0</v>
      </c>
      <c r="Y62" s="208">
        <f t="shared" si="10"/>
        <v>0</v>
      </c>
      <c r="Z62" s="209">
        <f t="shared" si="11"/>
        <v>1773337856.3697743</v>
      </c>
    </row>
    <row r="63" spans="1:26">
      <c r="A63" s="213">
        <v>41050</v>
      </c>
      <c r="B63" s="210" t="b">
        <f t="shared" si="12"/>
        <v>1</v>
      </c>
      <c r="C63" s="211">
        <v>0</v>
      </c>
      <c r="D63" s="211">
        <v>0</v>
      </c>
      <c r="E63" s="211">
        <v>0</v>
      </c>
      <c r="F63" s="211">
        <v>0</v>
      </c>
      <c r="G63" s="211">
        <v>0</v>
      </c>
      <c r="H63" s="212">
        <v>731354236.60688305</v>
      </c>
      <c r="I63" s="212">
        <v>465237432.11899525</v>
      </c>
      <c r="J63" s="212">
        <v>459678900.31767195</v>
      </c>
      <c r="K63" s="76">
        <v>0</v>
      </c>
      <c r="L63" s="76">
        <v>0</v>
      </c>
      <c r="M63" s="76">
        <v>0</v>
      </c>
      <c r="N63" s="76">
        <v>0</v>
      </c>
      <c r="O63" s="76">
        <v>0</v>
      </c>
      <c r="P63" s="76">
        <v>0</v>
      </c>
      <c r="Q63" s="76">
        <v>0</v>
      </c>
      <c r="R63" s="76">
        <v>0</v>
      </c>
      <c r="S63" s="76">
        <v>0</v>
      </c>
      <c r="T63" s="267">
        <f t="shared" si="5"/>
        <v>1656270569.0435503</v>
      </c>
      <c r="V63" s="206">
        <f t="shared" si="7"/>
        <v>1656270569.0435503</v>
      </c>
      <c r="W63" s="207">
        <f t="shared" si="8"/>
        <v>0</v>
      </c>
      <c r="X63" s="208">
        <f t="shared" si="9"/>
        <v>0</v>
      </c>
      <c r="Y63" s="208">
        <f t="shared" si="10"/>
        <v>0</v>
      </c>
      <c r="Z63" s="209">
        <f t="shared" si="11"/>
        <v>1656270569.0435503</v>
      </c>
    </row>
    <row r="64" spans="1:26">
      <c r="A64" s="205">
        <v>41080</v>
      </c>
      <c r="B64" s="210" t="b">
        <f t="shared" si="12"/>
        <v>0</v>
      </c>
      <c r="C64" s="76">
        <v>0</v>
      </c>
      <c r="D64" s="76">
        <v>0</v>
      </c>
      <c r="E64" s="76">
        <v>0</v>
      </c>
      <c r="F64" s="76">
        <v>0</v>
      </c>
      <c r="G64" s="76">
        <v>0</v>
      </c>
      <c r="H64" s="76">
        <v>731354236.60688305</v>
      </c>
      <c r="I64" s="76">
        <v>465237432.11899525</v>
      </c>
      <c r="J64" s="76">
        <v>459678900.31767195</v>
      </c>
      <c r="K64" s="76">
        <v>0</v>
      </c>
      <c r="L64" s="76">
        <v>0</v>
      </c>
      <c r="M64" s="76">
        <v>0</v>
      </c>
      <c r="N64" s="76">
        <v>0</v>
      </c>
      <c r="O64" s="76">
        <v>0</v>
      </c>
      <c r="P64" s="76">
        <v>0</v>
      </c>
      <c r="Q64" s="76">
        <v>0</v>
      </c>
      <c r="R64" s="76">
        <v>0</v>
      </c>
      <c r="S64" s="76">
        <v>0</v>
      </c>
      <c r="T64" s="267">
        <f t="shared" si="5"/>
        <v>1656270569.0435503</v>
      </c>
      <c r="V64" s="206">
        <f t="shared" si="7"/>
        <v>1656270569.0435503</v>
      </c>
      <c r="W64" s="207">
        <f t="shared" si="8"/>
        <v>0</v>
      </c>
      <c r="X64" s="208">
        <f t="shared" si="9"/>
        <v>0</v>
      </c>
      <c r="Y64" s="208">
        <f t="shared" si="10"/>
        <v>0</v>
      </c>
      <c r="Z64" s="209">
        <f t="shared" si="11"/>
        <v>1656270569.0435503</v>
      </c>
    </row>
    <row r="65" spans="1:40">
      <c r="A65" s="205">
        <v>41110</v>
      </c>
      <c r="B65" s="210" t="b">
        <f t="shared" si="12"/>
        <v>0</v>
      </c>
      <c r="C65" s="76">
        <v>0</v>
      </c>
      <c r="D65" s="76">
        <v>0</v>
      </c>
      <c r="E65" s="76">
        <v>0</v>
      </c>
      <c r="F65" s="76">
        <v>0</v>
      </c>
      <c r="G65" s="76">
        <v>0</v>
      </c>
      <c r="H65" s="185">
        <v>731354236.60688305</v>
      </c>
      <c r="I65" s="185">
        <v>465237432.11899525</v>
      </c>
      <c r="J65" s="185">
        <v>459678900.31767195</v>
      </c>
      <c r="K65" s="76">
        <v>0</v>
      </c>
      <c r="L65" s="76">
        <v>0</v>
      </c>
      <c r="M65" s="76">
        <v>0</v>
      </c>
      <c r="N65" s="76">
        <v>0</v>
      </c>
      <c r="O65" s="76">
        <v>0</v>
      </c>
      <c r="P65" s="76">
        <v>0</v>
      </c>
      <c r="Q65" s="76">
        <v>0</v>
      </c>
      <c r="R65" s="76">
        <v>0</v>
      </c>
      <c r="S65" s="76">
        <v>0</v>
      </c>
      <c r="T65" s="267">
        <f t="shared" si="5"/>
        <v>1656270569.0435503</v>
      </c>
      <c r="V65" s="206">
        <f t="shared" si="7"/>
        <v>1656270569.0435503</v>
      </c>
      <c r="W65" s="207">
        <f t="shared" si="8"/>
        <v>0</v>
      </c>
      <c r="X65" s="208">
        <f t="shared" si="9"/>
        <v>0</v>
      </c>
      <c r="Y65" s="208">
        <f t="shared" si="10"/>
        <v>0</v>
      </c>
      <c r="Z65" s="209">
        <f t="shared" si="11"/>
        <v>1656270569.0435503</v>
      </c>
    </row>
    <row r="66" spans="1:40">
      <c r="A66" s="205">
        <v>41141</v>
      </c>
      <c r="B66" s="210" t="b">
        <f t="shared" si="12"/>
        <v>1</v>
      </c>
      <c r="C66" s="76">
        <v>0</v>
      </c>
      <c r="D66" s="76">
        <v>0</v>
      </c>
      <c r="E66" s="76">
        <v>0</v>
      </c>
      <c r="F66" s="76">
        <v>0</v>
      </c>
      <c r="G66" s="76">
        <v>0</v>
      </c>
      <c r="H66" s="76">
        <v>0</v>
      </c>
      <c r="I66" s="76">
        <v>0</v>
      </c>
      <c r="J66" s="76">
        <v>0</v>
      </c>
      <c r="K66" s="76">
        <v>0</v>
      </c>
      <c r="L66" s="76">
        <v>0</v>
      </c>
      <c r="M66" s="76">
        <v>0</v>
      </c>
      <c r="N66" s="76">
        <v>0</v>
      </c>
      <c r="O66" s="76">
        <v>0</v>
      </c>
      <c r="P66" s="76">
        <v>0</v>
      </c>
      <c r="Q66" s="76">
        <v>0</v>
      </c>
      <c r="R66" s="76">
        <v>0</v>
      </c>
      <c r="S66" s="76">
        <v>0</v>
      </c>
      <c r="T66" s="267">
        <f t="shared" si="5"/>
        <v>0</v>
      </c>
      <c r="V66" s="206">
        <f t="shared" si="7"/>
        <v>0</v>
      </c>
      <c r="W66" s="207">
        <f t="shared" si="8"/>
        <v>0</v>
      </c>
      <c r="X66" s="208">
        <f t="shared" si="9"/>
        <v>0</v>
      </c>
      <c r="Y66" s="208">
        <f t="shared" si="10"/>
        <v>0</v>
      </c>
      <c r="Z66" s="209">
        <f t="shared" si="11"/>
        <v>0</v>
      </c>
    </row>
    <row r="67" spans="1:40">
      <c r="A67" s="205">
        <v>41172</v>
      </c>
      <c r="B67" s="210" t="b">
        <f t="shared" si="12"/>
        <v>0</v>
      </c>
      <c r="C67" s="76">
        <v>0</v>
      </c>
      <c r="D67" s="76">
        <v>0</v>
      </c>
      <c r="E67" s="76">
        <v>0</v>
      </c>
      <c r="F67" s="76">
        <v>0</v>
      </c>
      <c r="G67" s="76">
        <v>0</v>
      </c>
      <c r="H67" s="76">
        <v>0</v>
      </c>
      <c r="I67" s="76">
        <v>0</v>
      </c>
      <c r="J67" s="76">
        <v>0</v>
      </c>
      <c r="K67" s="76">
        <v>0</v>
      </c>
      <c r="L67" s="76">
        <v>0</v>
      </c>
      <c r="M67" s="76">
        <v>0</v>
      </c>
      <c r="N67" s="76">
        <v>0</v>
      </c>
      <c r="O67" s="76">
        <v>0</v>
      </c>
      <c r="P67" s="76">
        <v>0</v>
      </c>
      <c r="Q67" s="76">
        <v>0</v>
      </c>
      <c r="R67" s="76">
        <v>0</v>
      </c>
      <c r="S67" s="76">
        <v>0</v>
      </c>
      <c r="T67" s="267">
        <f t="shared" si="5"/>
        <v>0</v>
      </c>
      <c r="V67" s="206">
        <f t="shared" si="7"/>
        <v>0</v>
      </c>
      <c r="W67" s="207">
        <f t="shared" si="8"/>
        <v>0</v>
      </c>
      <c r="X67" s="208">
        <f t="shared" si="9"/>
        <v>0</v>
      </c>
      <c r="Y67" s="208">
        <f t="shared" si="10"/>
        <v>0</v>
      </c>
      <c r="Z67" s="209">
        <f>SUM(V67:Y67)</f>
        <v>0</v>
      </c>
    </row>
    <row r="68" spans="1:40">
      <c r="A68" s="205">
        <v>41202</v>
      </c>
      <c r="B68" s="210" t="b">
        <f>MOD(MONTH(A68),3)=2</f>
        <v>0</v>
      </c>
      <c r="C68" s="76">
        <v>0</v>
      </c>
      <c r="D68" s="76">
        <v>0</v>
      </c>
      <c r="E68" s="76">
        <v>0</v>
      </c>
      <c r="F68" s="76">
        <v>0</v>
      </c>
      <c r="G68" s="76">
        <v>0</v>
      </c>
      <c r="H68" s="76">
        <v>0</v>
      </c>
      <c r="I68" s="76">
        <v>0</v>
      </c>
      <c r="J68" s="76">
        <v>0</v>
      </c>
      <c r="K68" s="76">
        <v>0</v>
      </c>
      <c r="L68" s="76">
        <v>0</v>
      </c>
      <c r="M68" s="76">
        <v>0</v>
      </c>
      <c r="N68" s="76">
        <v>0</v>
      </c>
      <c r="O68" s="76">
        <v>0</v>
      </c>
      <c r="P68" s="76">
        <v>0</v>
      </c>
      <c r="Q68" s="76">
        <v>0</v>
      </c>
      <c r="R68" s="76">
        <v>0</v>
      </c>
      <c r="S68" s="76">
        <v>0</v>
      </c>
      <c r="T68" s="267">
        <f>SUM(C68:S68)</f>
        <v>0</v>
      </c>
      <c r="V68" s="206">
        <f t="shared" si="7"/>
        <v>0</v>
      </c>
      <c r="W68" s="207">
        <f t="shared" si="8"/>
        <v>0</v>
      </c>
      <c r="X68" s="208">
        <f t="shared" si="9"/>
        <v>0</v>
      </c>
      <c r="Y68" s="208">
        <f t="shared" si="10"/>
        <v>0</v>
      </c>
      <c r="Z68" s="209">
        <f>SUM(V68:Y68)</f>
        <v>0</v>
      </c>
    </row>
    <row r="69" spans="1:40">
      <c r="A69" s="205">
        <v>41233</v>
      </c>
      <c r="B69" s="210" t="b">
        <f>MOD(MONTH(A69),3)=2</f>
        <v>1</v>
      </c>
      <c r="C69" s="76">
        <v>0</v>
      </c>
      <c r="D69" s="76">
        <v>0</v>
      </c>
      <c r="E69" s="76">
        <v>0</v>
      </c>
      <c r="F69" s="76">
        <v>0</v>
      </c>
      <c r="G69" s="76">
        <v>0</v>
      </c>
      <c r="H69" s="76">
        <v>0</v>
      </c>
      <c r="I69" s="76">
        <v>0</v>
      </c>
      <c r="J69" s="76">
        <v>0</v>
      </c>
      <c r="K69" s="76">
        <v>0</v>
      </c>
      <c r="L69" s="76">
        <v>0</v>
      </c>
      <c r="M69" s="76">
        <v>0</v>
      </c>
      <c r="N69" s="76">
        <v>0</v>
      </c>
      <c r="O69" s="76">
        <v>0</v>
      </c>
      <c r="P69" s="76">
        <v>0</v>
      </c>
      <c r="Q69" s="76">
        <v>0</v>
      </c>
      <c r="R69" s="76">
        <v>0</v>
      </c>
      <c r="S69" s="76">
        <v>0</v>
      </c>
      <c r="T69" s="267">
        <f>SUM(C69:S69)</f>
        <v>0</v>
      </c>
      <c r="V69" s="206">
        <f t="shared" si="7"/>
        <v>0</v>
      </c>
      <c r="W69" s="207">
        <f t="shared" si="8"/>
        <v>0</v>
      </c>
      <c r="X69" s="208">
        <f t="shared" si="9"/>
        <v>0</v>
      </c>
      <c r="Y69" s="208">
        <f t="shared" si="10"/>
        <v>0</v>
      </c>
      <c r="Z69" s="209">
        <f>SUM(V69:Y69)</f>
        <v>0</v>
      </c>
    </row>
    <row r="70" spans="1:40">
      <c r="A70" s="205">
        <v>41263</v>
      </c>
      <c r="B70" s="210" t="b">
        <f>MOD(MONTH(A70),3)=2</f>
        <v>0</v>
      </c>
      <c r="C70" s="76">
        <v>0</v>
      </c>
      <c r="D70" s="76">
        <v>0</v>
      </c>
      <c r="E70" s="76">
        <v>0</v>
      </c>
      <c r="F70" s="76">
        <v>0</v>
      </c>
      <c r="G70" s="76">
        <v>0</v>
      </c>
      <c r="H70" s="76">
        <v>0</v>
      </c>
      <c r="I70" s="76">
        <v>0</v>
      </c>
      <c r="J70" s="76">
        <v>0</v>
      </c>
      <c r="K70" s="76">
        <v>0</v>
      </c>
      <c r="L70" s="76">
        <v>0</v>
      </c>
      <c r="M70" s="76">
        <v>0</v>
      </c>
      <c r="N70" s="76">
        <v>0</v>
      </c>
      <c r="O70" s="76">
        <v>0</v>
      </c>
      <c r="P70" s="76">
        <v>0</v>
      </c>
      <c r="Q70" s="76">
        <v>0</v>
      </c>
      <c r="R70" s="76">
        <v>0</v>
      </c>
      <c r="S70" s="76">
        <v>0</v>
      </c>
      <c r="T70" s="267">
        <f t="shared" ref="T70:T79" si="13">SUM(C70:S70)</f>
        <v>0</v>
      </c>
      <c r="V70" s="206">
        <f t="shared" ref="V70:V79" si="14">SUM(C70:J70)</f>
        <v>0</v>
      </c>
      <c r="W70" s="207">
        <f t="shared" ref="W70:W79" si="15">SUM(K70:M70)</f>
        <v>0</v>
      </c>
      <c r="X70" s="208">
        <f t="shared" ref="X70:X79" si="16">SUM(N70:P70)</f>
        <v>0</v>
      </c>
      <c r="Y70" s="208">
        <f t="shared" ref="Y70:Y79" si="17">SUM(Q70:S70)</f>
        <v>0</v>
      </c>
      <c r="Z70" s="209">
        <f t="shared" ref="Z70:Z79" si="18">SUM(V70:Y70)</f>
        <v>0</v>
      </c>
    </row>
    <row r="71" spans="1:40">
      <c r="A71" s="205">
        <v>41294</v>
      </c>
      <c r="B71" s="210" t="b">
        <f t="shared" ref="B71:B79" si="19">MOD(MONTH(A71),3)=2</f>
        <v>0</v>
      </c>
      <c r="C71" s="76">
        <v>0</v>
      </c>
      <c r="D71" s="76">
        <v>0</v>
      </c>
      <c r="E71" s="76">
        <v>0</v>
      </c>
      <c r="F71" s="76">
        <v>0</v>
      </c>
      <c r="G71" s="76">
        <v>0</v>
      </c>
      <c r="H71" s="76">
        <v>0</v>
      </c>
      <c r="I71" s="76">
        <v>0</v>
      </c>
      <c r="J71" s="76">
        <v>0</v>
      </c>
      <c r="K71" s="76">
        <v>0</v>
      </c>
      <c r="L71" s="76">
        <v>0</v>
      </c>
      <c r="M71" s="76">
        <v>0</v>
      </c>
      <c r="N71" s="76">
        <v>0</v>
      </c>
      <c r="O71" s="76">
        <v>0</v>
      </c>
      <c r="P71" s="76">
        <v>0</v>
      </c>
      <c r="Q71" s="76">
        <v>0</v>
      </c>
      <c r="R71" s="76">
        <v>0</v>
      </c>
      <c r="S71" s="76">
        <v>0</v>
      </c>
      <c r="T71" s="267">
        <f t="shared" si="13"/>
        <v>0</v>
      </c>
      <c r="V71" s="206">
        <f t="shared" si="14"/>
        <v>0</v>
      </c>
      <c r="W71" s="207">
        <f t="shared" si="15"/>
        <v>0</v>
      </c>
      <c r="X71" s="208">
        <f t="shared" si="16"/>
        <v>0</v>
      </c>
      <c r="Y71" s="208">
        <f t="shared" si="17"/>
        <v>0</v>
      </c>
      <c r="Z71" s="209">
        <f t="shared" si="18"/>
        <v>0</v>
      </c>
    </row>
    <row r="72" spans="1:40">
      <c r="A72" s="205">
        <v>41325</v>
      </c>
      <c r="B72" s="210" t="b">
        <f t="shared" si="19"/>
        <v>1</v>
      </c>
      <c r="C72" s="76">
        <v>0</v>
      </c>
      <c r="D72" s="76">
        <v>0</v>
      </c>
      <c r="E72" s="76">
        <v>0</v>
      </c>
      <c r="F72" s="76">
        <v>0</v>
      </c>
      <c r="G72" s="76">
        <v>0</v>
      </c>
      <c r="H72" s="76">
        <v>0</v>
      </c>
      <c r="I72" s="76">
        <v>0</v>
      </c>
      <c r="J72" s="76">
        <v>0</v>
      </c>
      <c r="K72" s="76">
        <v>0</v>
      </c>
      <c r="L72" s="76">
        <v>0</v>
      </c>
      <c r="M72" s="76">
        <v>0</v>
      </c>
      <c r="N72" s="76">
        <v>0</v>
      </c>
      <c r="O72" s="76">
        <v>0</v>
      </c>
      <c r="P72" s="76">
        <v>0</v>
      </c>
      <c r="Q72" s="76">
        <v>0</v>
      </c>
      <c r="R72" s="76">
        <v>0</v>
      </c>
      <c r="S72" s="76">
        <v>0</v>
      </c>
      <c r="T72" s="267">
        <f t="shared" si="13"/>
        <v>0</v>
      </c>
      <c r="V72" s="206">
        <f t="shared" si="14"/>
        <v>0</v>
      </c>
      <c r="W72" s="207">
        <f t="shared" si="15"/>
        <v>0</v>
      </c>
      <c r="X72" s="208">
        <f t="shared" si="16"/>
        <v>0</v>
      </c>
      <c r="Y72" s="208">
        <f t="shared" si="17"/>
        <v>0</v>
      </c>
      <c r="Z72" s="209">
        <f t="shared" si="18"/>
        <v>0</v>
      </c>
    </row>
    <row r="73" spans="1:40">
      <c r="A73" s="205">
        <v>41353</v>
      </c>
      <c r="B73" s="210" t="b">
        <f t="shared" si="19"/>
        <v>0</v>
      </c>
      <c r="C73" s="76">
        <v>0</v>
      </c>
      <c r="D73" s="76">
        <v>0</v>
      </c>
      <c r="E73" s="76">
        <v>0</v>
      </c>
      <c r="F73" s="76">
        <v>0</v>
      </c>
      <c r="G73" s="76">
        <v>0</v>
      </c>
      <c r="H73" s="76">
        <v>0</v>
      </c>
      <c r="I73" s="76">
        <v>0</v>
      </c>
      <c r="J73" s="76">
        <v>0</v>
      </c>
      <c r="K73" s="76">
        <v>0</v>
      </c>
      <c r="L73" s="76">
        <v>0</v>
      </c>
      <c r="M73" s="76">
        <v>0</v>
      </c>
      <c r="N73" s="76">
        <v>0</v>
      </c>
      <c r="O73" s="76">
        <v>0</v>
      </c>
      <c r="P73" s="76">
        <v>0</v>
      </c>
      <c r="Q73" s="76">
        <v>0</v>
      </c>
      <c r="R73" s="76">
        <v>0</v>
      </c>
      <c r="S73" s="76">
        <v>0</v>
      </c>
      <c r="T73" s="267">
        <f t="shared" si="13"/>
        <v>0</v>
      </c>
      <c r="V73" s="206">
        <f t="shared" si="14"/>
        <v>0</v>
      </c>
      <c r="W73" s="207">
        <f t="shared" si="15"/>
        <v>0</v>
      </c>
      <c r="X73" s="208">
        <f t="shared" si="16"/>
        <v>0</v>
      </c>
      <c r="Y73" s="208">
        <f t="shared" si="17"/>
        <v>0</v>
      </c>
      <c r="Z73" s="209">
        <f t="shared" si="18"/>
        <v>0</v>
      </c>
    </row>
    <row r="74" spans="1:40">
      <c r="A74" s="205">
        <v>41384</v>
      </c>
      <c r="B74" s="210" t="b">
        <f t="shared" si="19"/>
        <v>0</v>
      </c>
      <c r="C74" s="76">
        <v>0</v>
      </c>
      <c r="D74" s="76">
        <v>0</v>
      </c>
      <c r="E74" s="76">
        <v>0</v>
      </c>
      <c r="F74" s="76">
        <v>0</v>
      </c>
      <c r="G74" s="76">
        <v>0</v>
      </c>
      <c r="H74" s="76">
        <v>0</v>
      </c>
      <c r="I74" s="76">
        <v>0</v>
      </c>
      <c r="J74" s="76">
        <v>0</v>
      </c>
      <c r="K74" s="76">
        <v>0</v>
      </c>
      <c r="L74" s="76">
        <v>0</v>
      </c>
      <c r="M74" s="76">
        <v>0</v>
      </c>
      <c r="N74" s="76">
        <v>0</v>
      </c>
      <c r="O74" s="76">
        <v>0</v>
      </c>
      <c r="P74" s="76">
        <v>0</v>
      </c>
      <c r="Q74" s="76">
        <v>0</v>
      </c>
      <c r="R74" s="76">
        <v>0</v>
      </c>
      <c r="S74" s="76">
        <v>0</v>
      </c>
      <c r="T74" s="267">
        <f t="shared" si="13"/>
        <v>0</v>
      </c>
      <c r="V74" s="206">
        <f t="shared" si="14"/>
        <v>0</v>
      </c>
      <c r="W74" s="207">
        <f t="shared" si="15"/>
        <v>0</v>
      </c>
      <c r="X74" s="208">
        <f t="shared" si="16"/>
        <v>0</v>
      </c>
      <c r="Y74" s="208">
        <f t="shared" si="17"/>
        <v>0</v>
      </c>
      <c r="Z74" s="209">
        <f t="shared" si="18"/>
        <v>0</v>
      </c>
    </row>
    <row r="75" spans="1:40">
      <c r="A75" s="213">
        <v>41414</v>
      </c>
      <c r="B75" s="210" t="b">
        <f t="shared" si="19"/>
        <v>1</v>
      </c>
      <c r="C75" s="76">
        <v>0</v>
      </c>
      <c r="D75" s="76">
        <v>0</v>
      </c>
      <c r="E75" s="76">
        <v>0</v>
      </c>
      <c r="F75" s="76">
        <v>0</v>
      </c>
      <c r="G75" s="76">
        <v>0</v>
      </c>
      <c r="H75" s="76">
        <v>0</v>
      </c>
      <c r="I75" s="76">
        <v>0</v>
      </c>
      <c r="J75" s="76">
        <v>0</v>
      </c>
      <c r="K75" s="76">
        <v>0</v>
      </c>
      <c r="L75" s="76">
        <v>0</v>
      </c>
      <c r="M75" s="76">
        <v>0</v>
      </c>
      <c r="N75" s="76">
        <v>0</v>
      </c>
      <c r="O75" s="76">
        <v>0</v>
      </c>
      <c r="P75" s="76">
        <v>0</v>
      </c>
      <c r="Q75" s="76">
        <v>0</v>
      </c>
      <c r="R75" s="76">
        <v>0</v>
      </c>
      <c r="S75" s="76">
        <v>0</v>
      </c>
      <c r="T75" s="267">
        <f t="shared" si="13"/>
        <v>0</v>
      </c>
      <c r="V75" s="206">
        <f t="shared" si="14"/>
        <v>0</v>
      </c>
      <c r="W75" s="207">
        <f t="shared" si="15"/>
        <v>0</v>
      </c>
      <c r="X75" s="208">
        <f t="shared" si="16"/>
        <v>0</v>
      </c>
      <c r="Y75" s="208">
        <f t="shared" si="17"/>
        <v>0</v>
      </c>
      <c r="Z75" s="209">
        <f t="shared" si="18"/>
        <v>0</v>
      </c>
    </row>
    <row r="76" spans="1:40">
      <c r="A76" s="205">
        <v>41445</v>
      </c>
      <c r="B76" s="210" t="b">
        <f t="shared" si="19"/>
        <v>0</v>
      </c>
      <c r="C76" s="76">
        <v>0</v>
      </c>
      <c r="D76" s="76">
        <v>0</v>
      </c>
      <c r="E76" s="76">
        <v>0</v>
      </c>
      <c r="F76" s="76">
        <v>0</v>
      </c>
      <c r="G76" s="76">
        <v>0</v>
      </c>
      <c r="H76" s="76">
        <v>0</v>
      </c>
      <c r="I76" s="76">
        <v>0</v>
      </c>
      <c r="J76" s="76">
        <v>0</v>
      </c>
      <c r="K76" s="76">
        <v>0</v>
      </c>
      <c r="L76" s="76">
        <v>0</v>
      </c>
      <c r="M76" s="76">
        <v>0</v>
      </c>
      <c r="N76" s="76">
        <v>0</v>
      </c>
      <c r="O76" s="76">
        <v>0</v>
      </c>
      <c r="P76" s="76">
        <v>0</v>
      </c>
      <c r="Q76" s="76">
        <v>0</v>
      </c>
      <c r="R76" s="76">
        <v>0</v>
      </c>
      <c r="S76" s="76">
        <v>0</v>
      </c>
      <c r="T76" s="267">
        <f t="shared" si="13"/>
        <v>0</v>
      </c>
      <c r="V76" s="206">
        <f t="shared" si="14"/>
        <v>0</v>
      </c>
      <c r="W76" s="207">
        <f t="shared" si="15"/>
        <v>0</v>
      </c>
      <c r="X76" s="208">
        <f t="shared" si="16"/>
        <v>0</v>
      </c>
      <c r="Y76" s="208">
        <f t="shared" si="17"/>
        <v>0</v>
      </c>
      <c r="Z76" s="209">
        <f t="shared" si="18"/>
        <v>0</v>
      </c>
    </row>
    <row r="77" spans="1:40">
      <c r="A77" s="205">
        <v>41475</v>
      </c>
      <c r="B77" s="210" t="b">
        <f t="shared" si="19"/>
        <v>0</v>
      </c>
      <c r="C77" s="76">
        <v>0</v>
      </c>
      <c r="D77" s="76">
        <v>0</v>
      </c>
      <c r="E77" s="76">
        <v>0</v>
      </c>
      <c r="F77" s="76">
        <v>0</v>
      </c>
      <c r="G77" s="76">
        <v>0</v>
      </c>
      <c r="H77" s="76">
        <v>0</v>
      </c>
      <c r="I77" s="76">
        <v>0</v>
      </c>
      <c r="J77" s="76">
        <v>0</v>
      </c>
      <c r="K77" s="76">
        <v>0</v>
      </c>
      <c r="L77" s="76">
        <v>0</v>
      </c>
      <c r="M77" s="76">
        <v>0</v>
      </c>
      <c r="N77" s="76">
        <v>0</v>
      </c>
      <c r="O77" s="76">
        <v>0</v>
      </c>
      <c r="P77" s="76">
        <v>0</v>
      </c>
      <c r="Q77" s="76">
        <v>0</v>
      </c>
      <c r="R77" s="76">
        <v>0</v>
      </c>
      <c r="S77" s="76">
        <v>0</v>
      </c>
      <c r="T77" s="267">
        <f t="shared" si="13"/>
        <v>0</v>
      </c>
      <c r="V77" s="206">
        <f t="shared" si="14"/>
        <v>0</v>
      </c>
      <c r="W77" s="207">
        <f t="shared" si="15"/>
        <v>0</v>
      </c>
      <c r="X77" s="208">
        <f t="shared" si="16"/>
        <v>0</v>
      </c>
      <c r="Y77" s="208">
        <f t="shared" si="17"/>
        <v>0</v>
      </c>
      <c r="Z77" s="209">
        <f t="shared" si="18"/>
        <v>0</v>
      </c>
    </row>
    <row r="78" spans="1:40">
      <c r="A78" s="205">
        <v>41506</v>
      </c>
      <c r="B78" s="210" t="b">
        <f t="shared" si="19"/>
        <v>1</v>
      </c>
      <c r="C78" s="76">
        <v>0</v>
      </c>
      <c r="D78" s="76">
        <v>0</v>
      </c>
      <c r="E78" s="76">
        <v>0</v>
      </c>
      <c r="F78" s="76">
        <v>0</v>
      </c>
      <c r="G78" s="76">
        <v>0</v>
      </c>
      <c r="H78" s="76">
        <v>0</v>
      </c>
      <c r="I78" s="76">
        <v>0</v>
      </c>
      <c r="J78" s="76">
        <v>0</v>
      </c>
      <c r="K78" s="76">
        <v>0</v>
      </c>
      <c r="L78" s="76">
        <v>0</v>
      </c>
      <c r="M78" s="76">
        <v>0</v>
      </c>
      <c r="N78" s="76">
        <v>0</v>
      </c>
      <c r="O78" s="76">
        <v>0</v>
      </c>
      <c r="P78" s="76">
        <v>0</v>
      </c>
      <c r="Q78" s="76">
        <v>0</v>
      </c>
      <c r="R78" s="76">
        <v>0</v>
      </c>
      <c r="S78" s="76">
        <v>0</v>
      </c>
      <c r="T78" s="267">
        <f t="shared" si="13"/>
        <v>0</v>
      </c>
      <c r="V78" s="206">
        <f t="shared" si="14"/>
        <v>0</v>
      </c>
      <c r="W78" s="207">
        <f t="shared" si="15"/>
        <v>0</v>
      </c>
      <c r="X78" s="208">
        <f t="shared" si="16"/>
        <v>0</v>
      </c>
      <c r="Y78" s="208">
        <f t="shared" si="17"/>
        <v>0</v>
      </c>
      <c r="Z78" s="209">
        <f t="shared" si="18"/>
        <v>0</v>
      </c>
    </row>
    <row r="79" spans="1:40">
      <c r="A79" s="205">
        <v>41537</v>
      </c>
      <c r="B79" s="210" t="b">
        <f t="shared" si="19"/>
        <v>0</v>
      </c>
      <c r="C79" s="76">
        <v>0</v>
      </c>
      <c r="D79" s="76">
        <v>0</v>
      </c>
      <c r="E79" s="76">
        <v>0</v>
      </c>
      <c r="F79" s="76">
        <v>0</v>
      </c>
      <c r="G79" s="76">
        <v>0</v>
      </c>
      <c r="H79" s="76">
        <v>0</v>
      </c>
      <c r="I79" s="76">
        <v>0</v>
      </c>
      <c r="J79" s="76">
        <v>0</v>
      </c>
      <c r="K79" s="76">
        <v>0</v>
      </c>
      <c r="L79" s="76">
        <v>0</v>
      </c>
      <c r="M79" s="76">
        <v>0</v>
      </c>
      <c r="N79" s="76">
        <v>0</v>
      </c>
      <c r="O79" s="76">
        <v>0</v>
      </c>
      <c r="P79" s="76">
        <v>0</v>
      </c>
      <c r="Q79" s="76">
        <v>0</v>
      </c>
      <c r="R79" s="76">
        <v>0</v>
      </c>
      <c r="S79" s="76">
        <v>0</v>
      </c>
      <c r="T79" s="267">
        <f t="shared" si="13"/>
        <v>0</v>
      </c>
      <c r="U79" s="190">
        <f>+U80-'GMF 2 GBP Amortisation'!AD25-'GMF 2 GBP Amortisation'!AA25</f>
        <v>415269057.71999997</v>
      </c>
      <c r="V79" s="206">
        <f t="shared" si="14"/>
        <v>0</v>
      </c>
      <c r="W79" s="207">
        <f t="shared" si="15"/>
        <v>0</v>
      </c>
      <c r="X79" s="208">
        <f t="shared" si="16"/>
        <v>0</v>
      </c>
      <c r="Y79" s="208">
        <f t="shared" si="17"/>
        <v>0</v>
      </c>
      <c r="Z79" s="209">
        <f t="shared" si="18"/>
        <v>0</v>
      </c>
    </row>
    <row r="80" spans="1:40">
      <c r="A80" s="205">
        <v>41567</v>
      </c>
      <c r="B80" s="210" t="b">
        <f>MOD(MONTH(A80),3)=2</f>
        <v>0</v>
      </c>
      <c r="C80" s="76">
        <v>0</v>
      </c>
      <c r="D80" s="76">
        <v>0</v>
      </c>
      <c r="E80" s="76">
        <v>0</v>
      </c>
      <c r="F80" s="76">
        <v>0</v>
      </c>
      <c r="G80" s="76">
        <v>0</v>
      </c>
      <c r="H80" s="76">
        <v>0</v>
      </c>
      <c r="I80" s="76">
        <v>0</v>
      </c>
      <c r="J80" s="76">
        <v>0</v>
      </c>
      <c r="K80" s="76">
        <v>0</v>
      </c>
      <c r="L80" s="76">
        <v>0</v>
      </c>
      <c r="M80" s="76">
        <v>0</v>
      </c>
      <c r="N80" s="76">
        <v>0</v>
      </c>
      <c r="O80" s="76">
        <v>0</v>
      </c>
      <c r="P80" s="76">
        <v>0</v>
      </c>
      <c r="Q80" s="76">
        <v>0</v>
      </c>
      <c r="R80" s="76">
        <v>0</v>
      </c>
      <c r="S80" s="76">
        <v>0</v>
      </c>
      <c r="T80" s="267">
        <f t="shared" ref="T80:T82" si="20">SUM(C80:S80)</f>
        <v>0</v>
      </c>
      <c r="U80" s="190">
        <f>+T100+'GMF 2 GBP Amortisation'!AJ25</f>
        <v>499090028.77999997</v>
      </c>
      <c r="V80" s="206">
        <f t="shared" ref="V80:V82" si="21">SUM(C80:J80)</f>
        <v>0</v>
      </c>
      <c r="W80" s="207">
        <f t="shared" ref="W80:W82" si="22">SUM(K80:M80)</f>
        <v>0</v>
      </c>
      <c r="X80" s="208">
        <f t="shared" ref="X80:X82" si="23">SUM(N80:P80)</f>
        <v>0</v>
      </c>
      <c r="Y80" s="208">
        <f t="shared" ref="Y80:Y82" si="24">SUM(Q80:S80)</f>
        <v>0</v>
      </c>
      <c r="Z80" s="209">
        <f t="shared" ref="Z80:Z82" si="25">SUM(V80:Y80)</f>
        <v>0</v>
      </c>
      <c r="AN80" s="74" t="s">
        <v>622</v>
      </c>
    </row>
    <row r="81" spans="1:75">
      <c r="A81" s="205">
        <v>41598</v>
      </c>
      <c r="B81" s="210" t="b">
        <f>MOD(MONTH(A81),3)=2</f>
        <v>1</v>
      </c>
      <c r="C81" s="76">
        <v>0</v>
      </c>
      <c r="D81" s="76">
        <v>0</v>
      </c>
      <c r="E81" s="76">
        <v>0</v>
      </c>
      <c r="F81" s="76">
        <v>0</v>
      </c>
      <c r="G81" s="76">
        <v>0</v>
      </c>
      <c r="H81" s="76">
        <v>0</v>
      </c>
      <c r="I81" s="76">
        <v>0</v>
      </c>
      <c r="J81" s="76">
        <v>0</v>
      </c>
      <c r="K81" s="76">
        <v>0</v>
      </c>
      <c r="L81" s="76">
        <v>0</v>
      </c>
      <c r="M81" s="76">
        <v>0</v>
      </c>
      <c r="N81" s="76">
        <v>0</v>
      </c>
      <c r="O81" s="76">
        <v>0</v>
      </c>
      <c r="P81" s="76">
        <v>0</v>
      </c>
      <c r="Q81" s="76">
        <v>0</v>
      </c>
      <c r="R81" s="76">
        <v>0</v>
      </c>
      <c r="S81" s="76">
        <v>0</v>
      </c>
      <c r="T81" s="267">
        <f t="shared" si="20"/>
        <v>0</v>
      </c>
      <c r="V81" s="206">
        <f t="shared" si="21"/>
        <v>0</v>
      </c>
      <c r="W81" s="207">
        <f t="shared" si="22"/>
        <v>0</v>
      </c>
      <c r="X81" s="208">
        <f t="shared" si="23"/>
        <v>0</v>
      </c>
      <c r="Y81" s="208">
        <f t="shared" si="24"/>
        <v>0</v>
      </c>
      <c r="Z81" s="209">
        <f t="shared" si="25"/>
        <v>0</v>
      </c>
    </row>
    <row r="82" spans="1:75" ht="13.5" thickBot="1">
      <c r="A82" s="205">
        <v>41628</v>
      </c>
      <c r="B82" s="210" t="b">
        <f>MOD(MONTH(A82),3)=2</f>
        <v>0</v>
      </c>
      <c r="C82" s="76">
        <v>0</v>
      </c>
      <c r="D82" s="76">
        <v>0</v>
      </c>
      <c r="E82" s="76">
        <v>0</v>
      </c>
      <c r="F82" s="76">
        <v>0</v>
      </c>
      <c r="G82" s="76">
        <v>0</v>
      </c>
      <c r="H82" s="76">
        <v>0</v>
      </c>
      <c r="I82" s="76">
        <v>0</v>
      </c>
      <c r="J82" s="76">
        <v>0</v>
      </c>
      <c r="K82" s="76">
        <v>0</v>
      </c>
      <c r="L82" s="76">
        <v>0</v>
      </c>
      <c r="M82" s="76">
        <v>0</v>
      </c>
      <c r="N82" s="76">
        <v>0</v>
      </c>
      <c r="O82" s="76">
        <v>0</v>
      </c>
      <c r="P82" s="76">
        <v>0</v>
      </c>
      <c r="Q82" s="76">
        <v>0</v>
      </c>
      <c r="R82" s="76">
        <v>0</v>
      </c>
      <c r="S82" s="76">
        <v>0</v>
      </c>
      <c r="T82" s="267">
        <f t="shared" si="20"/>
        <v>0</v>
      </c>
      <c r="V82" s="1475">
        <f t="shared" si="21"/>
        <v>0</v>
      </c>
      <c r="W82" s="1476">
        <f t="shared" si="22"/>
        <v>0</v>
      </c>
      <c r="X82" s="1477">
        <f t="shared" si="23"/>
        <v>0</v>
      </c>
      <c r="Y82" s="1477">
        <f t="shared" si="24"/>
        <v>0</v>
      </c>
      <c r="Z82" s="1478">
        <f t="shared" si="25"/>
        <v>0</v>
      </c>
    </row>
    <row r="83" spans="1:75" ht="13.5" thickTop="1">
      <c r="B83" s="205"/>
      <c r="C83" s="216"/>
      <c r="D83" s="216"/>
      <c r="E83" s="216"/>
      <c r="F83" s="216"/>
      <c r="G83" s="216"/>
      <c r="H83" s="216"/>
      <c r="I83" s="216"/>
      <c r="J83" s="216"/>
      <c r="K83" s="216"/>
      <c r="L83" s="216"/>
      <c r="M83" s="216"/>
      <c r="N83" s="216"/>
      <c r="O83" s="216"/>
      <c r="P83" s="216"/>
      <c r="Q83" s="216"/>
      <c r="R83" s="216"/>
    </row>
    <row r="84" spans="1:75" ht="13.5" thickBot="1">
      <c r="A84" s="217" t="s">
        <v>992</v>
      </c>
      <c r="B84" s="205"/>
      <c r="C84" s="199" t="s">
        <v>742</v>
      </c>
      <c r="D84" s="199" t="s">
        <v>743</v>
      </c>
      <c r="E84" s="199" t="s">
        <v>744</v>
      </c>
      <c r="F84" s="199" t="s">
        <v>745</v>
      </c>
      <c r="G84" s="199" t="s">
        <v>746</v>
      </c>
      <c r="H84" s="199" t="s">
        <v>747</v>
      </c>
      <c r="I84" s="199" t="s">
        <v>748</v>
      </c>
      <c r="J84" s="199" t="s">
        <v>749</v>
      </c>
      <c r="K84" s="199" t="s">
        <v>750</v>
      </c>
      <c r="L84" s="199" t="s">
        <v>751</v>
      </c>
      <c r="M84" s="199" t="s">
        <v>752</v>
      </c>
      <c r="N84" s="199" t="s">
        <v>753</v>
      </c>
      <c r="O84" s="199" t="s">
        <v>754</v>
      </c>
      <c r="P84" s="199" t="s">
        <v>755</v>
      </c>
      <c r="Q84" s="199" t="s">
        <v>756</v>
      </c>
      <c r="R84" s="199" t="s">
        <v>757</v>
      </c>
      <c r="S84" s="199" t="s">
        <v>758</v>
      </c>
      <c r="T84" s="201" t="s">
        <v>993</v>
      </c>
      <c r="U84" s="366" t="s">
        <v>994</v>
      </c>
      <c r="V84" s="219" t="s">
        <v>742</v>
      </c>
      <c r="W84" s="199" t="s">
        <v>743</v>
      </c>
      <c r="X84" s="199" t="s">
        <v>744</v>
      </c>
      <c r="Y84" s="199" t="s">
        <v>745</v>
      </c>
      <c r="Z84" s="199" t="s">
        <v>746</v>
      </c>
      <c r="AA84" s="199" t="s">
        <v>747</v>
      </c>
      <c r="AB84" s="199" t="s">
        <v>748</v>
      </c>
      <c r="AC84" s="199" t="s">
        <v>749</v>
      </c>
      <c r="AD84" s="199" t="s">
        <v>750</v>
      </c>
      <c r="AE84" s="199" t="s">
        <v>751</v>
      </c>
      <c r="AF84" s="199" t="s">
        <v>752</v>
      </c>
      <c r="AG84" s="199" t="s">
        <v>753</v>
      </c>
      <c r="AH84" s="199" t="s">
        <v>754</v>
      </c>
      <c r="AI84" s="199" t="s">
        <v>755</v>
      </c>
      <c r="AJ84" s="199" t="s">
        <v>756</v>
      </c>
      <c r="AK84" s="199" t="s">
        <v>757</v>
      </c>
      <c r="AL84" s="199" t="s">
        <v>758</v>
      </c>
      <c r="AN84" s="220" t="s">
        <v>995</v>
      </c>
      <c r="AO84" s="199" t="s">
        <v>742</v>
      </c>
      <c r="AP84" s="199" t="s">
        <v>743</v>
      </c>
      <c r="AQ84" s="199" t="s">
        <v>744</v>
      </c>
      <c r="AR84" s="199" t="s">
        <v>745</v>
      </c>
      <c r="AS84" s="199" t="s">
        <v>746</v>
      </c>
      <c r="AT84" s="199" t="s">
        <v>747</v>
      </c>
      <c r="AU84" s="199" t="s">
        <v>748</v>
      </c>
      <c r="AV84" s="199" t="s">
        <v>749</v>
      </c>
      <c r="AW84" s="199" t="s">
        <v>750</v>
      </c>
      <c r="AX84" s="199" t="s">
        <v>751</v>
      </c>
      <c r="AY84" s="199" t="s">
        <v>752</v>
      </c>
      <c r="AZ84" s="199" t="s">
        <v>753</v>
      </c>
      <c r="BA84" s="199" t="s">
        <v>754</v>
      </c>
      <c r="BB84" s="199" t="s">
        <v>755</v>
      </c>
      <c r="BC84" s="199" t="s">
        <v>756</v>
      </c>
      <c r="BD84" s="199" t="s">
        <v>757</v>
      </c>
      <c r="BE84" s="199" t="s">
        <v>758</v>
      </c>
      <c r="BF84" s="220" t="s">
        <v>996</v>
      </c>
      <c r="BG84" s="199" t="s">
        <v>742</v>
      </c>
      <c r="BH84" s="199" t="s">
        <v>743</v>
      </c>
      <c r="BI84" s="199" t="s">
        <v>744</v>
      </c>
      <c r="BJ84" s="199" t="s">
        <v>745</v>
      </c>
      <c r="BK84" s="199" t="s">
        <v>746</v>
      </c>
      <c r="BL84" s="199" t="s">
        <v>747</v>
      </c>
      <c r="BM84" s="199" t="s">
        <v>748</v>
      </c>
      <c r="BN84" s="199" t="s">
        <v>749</v>
      </c>
      <c r="BO84" s="199" t="s">
        <v>750</v>
      </c>
      <c r="BP84" s="199" t="s">
        <v>751</v>
      </c>
      <c r="BQ84" s="199" t="s">
        <v>752</v>
      </c>
      <c r="BR84" s="199" t="s">
        <v>753</v>
      </c>
      <c r="BS84" s="199" t="s">
        <v>754</v>
      </c>
      <c r="BT84" s="199" t="s">
        <v>755</v>
      </c>
      <c r="BU84" s="199" t="s">
        <v>756</v>
      </c>
      <c r="BV84" s="199" t="s">
        <v>757</v>
      </c>
      <c r="BW84" s="199" t="s">
        <v>758</v>
      </c>
    </row>
    <row r="85" spans="1:75">
      <c r="A85" s="221">
        <v>39239</v>
      </c>
      <c r="B85" s="222"/>
      <c r="C85" s="223"/>
      <c r="D85" s="223"/>
      <c r="E85" s="223"/>
      <c r="F85" s="223"/>
      <c r="G85" s="223"/>
      <c r="H85" s="223"/>
      <c r="I85" s="223"/>
      <c r="J85" s="223"/>
      <c r="K85" s="223"/>
      <c r="L85" s="223"/>
      <c r="M85" s="223"/>
      <c r="N85" s="223"/>
      <c r="O85" s="223"/>
      <c r="P85" s="223"/>
      <c r="Q85" s="223"/>
      <c r="R85" s="223"/>
      <c r="S85" s="223"/>
      <c r="T85" s="224"/>
      <c r="U85" s="225">
        <v>39239</v>
      </c>
      <c r="V85" s="221"/>
      <c r="W85" s="223"/>
      <c r="X85" s="223"/>
      <c r="Y85" s="223"/>
      <c r="Z85" s="223"/>
      <c r="AA85" s="223"/>
      <c r="AB85" s="223"/>
      <c r="AC85" s="223"/>
      <c r="AD85" s="223"/>
      <c r="AE85" s="223"/>
      <c r="AF85" s="223"/>
      <c r="AG85" s="223"/>
      <c r="AH85" s="223"/>
      <c r="AI85" s="223"/>
      <c r="AJ85" s="223"/>
      <c r="AK85" s="223"/>
      <c r="AL85" s="223"/>
      <c r="AM85" s="224"/>
      <c r="AN85" s="225">
        <v>39239</v>
      </c>
      <c r="AO85" s="226">
        <f t="shared" ref="AO85:AO116" si="26">C85-V85</f>
        <v>0</v>
      </c>
      <c r="AP85" s="223">
        <f t="shared" ref="AP85:AP116" si="27">D85-W85</f>
        <v>0</v>
      </c>
      <c r="AQ85" s="223">
        <f t="shared" ref="AQ85:AQ116" si="28">E85-X85</f>
        <v>0</v>
      </c>
      <c r="AR85" s="223">
        <f t="shared" ref="AR85:AR116" si="29">F85-Y85</f>
        <v>0</v>
      </c>
      <c r="AS85" s="223">
        <f t="shared" ref="AS85:AS116" si="30">G85-Z85</f>
        <v>0</v>
      </c>
      <c r="AT85" s="223">
        <f t="shared" ref="AT85:AT116" si="31">H85-AA85</f>
        <v>0</v>
      </c>
      <c r="AU85" s="223">
        <f t="shared" ref="AU85:AU116" si="32">I85-AB85</f>
        <v>0</v>
      </c>
      <c r="AV85" s="223">
        <f t="shared" ref="AV85:AV116" si="33">J85-AC85</f>
        <v>0</v>
      </c>
      <c r="AW85" s="223">
        <f t="shared" ref="AW85:AW116" si="34">K85-AD85</f>
        <v>0</v>
      </c>
      <c r="AX85" s="223">
        <f t="shared" ref="AX85:AX116" si="35">L85-AE85</f>
        <v>0</v>
      </c>
      <c r="AY85" s="223">
        <f t="shared" ref="AY85:AY116" si="36">M85-AF85</f>
        <v>0</v>
      </c>
      <c r="AZ85" s="223">
        <f t="shared" ref="AZ85:AZ116" si="37">N85-AG85</f>
        <v>0</v>
      </c>
      <c r="BA85" s="223">
        <f t="shared" ref="BA85:BA116" si="38">O85-AH85</f>
        <v>0</v>
      </c>
      <c r="BB85" s="223">
        <f t="shared" ref="BB85:BB116" si="39">P85-AI85</f>
        <v>0</v>
      </c>
      <c r="BC85" s="223">
        <f t="shared" ref="BC85:BC116" si="40">Q85-AJ85</f>
        <v>0</v>
      </c>
      <c r="BD85" s="223">
        <f t="shared" ref="BD85:BD116" si="41">R85-AK85</f>
        <v>0</v>
      </c>
      <c r="BE85" s="224">
        <f t="shared" ref="BE85:BE116" si="42">S85-AL85</f>
        <v>0</v>
      </c>
      <c r="BF85" s="225">
        <v>39239</v>
      </c>
      <c r="BG85" s="227">
        <f t="shared" ref="BG85:BP86" si="43">+AO85</f>
        <v>0</v>
      </c>
      <c r="BH85" s="228">
        <f t="shared" si="43"/>
        <v>0</v>
      </c>
      <c r="BI85" s="228">
        <f t="shared" si="43"/>
        <v>0</v>
      </c>
      <c r="BJ85" s="228">
        <f t="shared" si="43"/>
        <v>0</v>
      </c>
      <c r="BK85" s="228">
        <f t="shared" si="43"/>
        <v>0</v>
      </c>
      <c r="BL85" s="228">
        <f t="shared" si="43"/>
        <v>0</v>
      </c>
      <c r="BM85" s="228">
        <f t="shared" si="43"/>
        <v>0</v>
      </c>
      <c r="BN85" s="228">
        <f t="shared" si="43"/>
        <v>0</v>
      </c>
      <c r="BO85" s="228">
        <f t="shared" si="43"/>
        <v>0</v>
      </c>
      <c r="BP85" s="228">
        <f t="shared" si="43"/>
        <v>0</v>
      </c>
      <c r="BQ85" s="228">
        <f t="shared" ref="BQ85:BW86" si="44">+AY85</f>
        <v>0</v>
      </c>
      <c r="BR85" s="228">
        <f t="shared" si="44"/>
        <v>0</v>
      </c>
      <c r="BS85" s="228">
        <f t="shared" si="44"/>
        <v>0</v>
      </c>
      <c r="BT85" s="228">
        <f t="shared" si="44"/>
        <v>0</v>
      </c>
      <c r="BU85" s="228">
        <f t="shared" si="44"/>
        <v>0</v>
      </c>
      <c r="BV85" s="228">
        <f t="shared" si="44"/>
        <v>0</v>
      </c>
      <c r="BW85" s="229">
        <f t="shared" si="44"/>
        <v>0</v>
      </c>
    </row>
    <row r="86" spans="1:75">
      <c r="A86" s="225">
        <v>39253</v>
      </c>
      <c r="B86" s="213"/>
      <c r="C86" s="230">
        <f t="shared" ref="C86:S86" si="45">ROUND((C3-C4),2)</f>
        <v>0</v>
      </c>
      <c r="D86" s="230">
        <f t="shared" si="45"/>
        <v>0</v>
      </c>
      <c r="E86" s="230">
        <f t="shared" si="45"/>
        <v>0</v>
      </c>
      <c r="F86" s="230">
        <f t="shared" si="45"/>
        <v>0</v>
      </c>
      <c r="G86" s="230">
        <f t="shared" si="45"/>
        <v>0</v>
      </c>
      <c r="H86" s="230">
        <f t="shared" si="45"/>
        <v>0</v>
      </c>
      <c r="I86" s="230">
        <f t="shared" si="45"/>
        <v>0</v>
      </c>
      <c r="J86" s="230">
        <f t="shared" si="45"/>
        <v>0</v>
      </c>
      <c r="K86" s="230">
        <f t="shared" si="45"/>
        <v>0</v>
      </c>
      <c r="L86" s="230">
        <f t="shared" si="45"/>
        <v>0</v>
      </c>
      <c r="M86" s="230">
        <f t="shared" si="45"/>
        <v>0</v>
      </c>
      <c r="N86" s="230">
        <f t="shared" si="45"/>
        <v>0</v>
      </c>
      <c r="O86" s="230">
        <f t="shared" si="45"/>
        <v>0</v>
      </c>
      <c r="P86" s="230">
        <f t="shared" si="45"/>
        <v>0</v>
      </c>
      <c r="Q86" s="230">
        <f t="shared" si="45"/>
        <v>0</v>
      </c>
      <c r="R86" s="230">
        <f t="shared" si="45"/>
        <v>0</v>
      </c>
      <c r="S86" s="230">
        <f t="shared" si="45"/>
        <v>0</v>
      </c>
      <c r="T86" s="209">
        <f t="shared" ref="T86:T117" si="46">SUM(C86:S86)</f>
        <v>0</v>
      </c>
      <c r="U86" s="225">
        <v>39253</v>
      </c>
      <c r="V86" s="225"/>
      <c r="W86" s="231"/>
      <c r="X86" s="231"/>
      <c r="Y86" s="231"/>
      <c r="Z86" s="231"/>
      <c r="AA86" s="231"/>
      <c r="AB86" s="231"/>
      <c r="AC86" s="231"/>
      <c r="AD86" s="231"/>
      <c r="AE86" s="231"/>
      <c r="AF86" s="231"/>
      <c r="AG86" s="231"/>
      <c r="AH86" s="231"/>
      <c r="AI86" s="231"/>
      <c r="AJ86" s="231"/>
      <c r="AK86" s="231"/>
      <c r="AL86" s="231"/>
      <c r="AM86" s="232"/>
      <c r="AN86" s="225">
        <v>39253</v>
      </c>
      <c r="AO86" s="233">
        <f t="shared" si="26"/>
        <v>0</v>
      </c>
      <c r="AP86" s="231">
        <f t="shared" si="27"/>
        <v>0</v>
      </c>
      <c r="AQ86" s="231">
        <f t="shared" si="28"/>
        <v>0</v>
      </c>
      <c r="AR86" s="231">
        <f t="shared" si="29"/>
        <v>0</v>
      </c>
      <c r="AS86" s="231">
        <f t="shared" si="30"/>
        <v>0</v>
      </c>
      <c r="AT86" s="231">
        <f t="shared" si="31"/>
        <v>0</v>
      </c>
      <c r="AU86" s="231">
        <f t="shared" si="32"/>
        <v>0</v>
      </c>
      <c r="AV86" s="231">
        <f t="shared" si="33"/>
        <v>0</v>
      </c>
      <c r="AW86" s="231">
        <f t="shared" si="34"/>
        <v>0</v>
      </c>
      <c r="AX86" s="231">
        <f t="shared" si="35"/>
        <v>0</v>
      </c>
      <c r="AY86" s="231">
        <f t="shared" si="36"/>
        <v>0</v>
      </c>
      <c r="AZ86" s="231">
        <f t="shared" si="37"/>
        <v>0</v>
      </c>
      <c r="BA86" s="231">
        <f t="shared" si="38"/>
        <v>0</v>
      </c>
      <c r="BB86" s="231">
        <f t="shared" si="39"/>
        <v>0</v>
      </c>
      <c r="BC86" s="231">
        <f t="shared" si="40"/>
        <v>0</v>
      </c>
      <c r="BD86" s="231">
        <f t="shared" si="41"/>
        <v>0</v>
      </c>
      <c r="BE86" s="232">
        <f t="shared" si="42"/>
        <v>0</v>
      </c>
      <c r="BF86" s="225">
        <v>39253</v>
      </c>
      <c r="BG86" s="234">
        <f t="shared" si="43"/>
        <v>0</v>
      </c>
      <c r="BH86" s="235">
        <f t="shared" si="43"/>
        <v>0</v>
      </c>
      <c r="BI86" s="235">
        <f t="shared" si="43"/>
        <v>0</v>
      </c>
      <c r="BJ86" s="235">
        <f t="shared" si="43"/>
        <v>0</v>
      </c>
      <c r="BK86" s="235">
        <f t="shared" si="43"/>
        <v>0</v>
      </c>
      <c r="BL86" s="235">
        <f t="shared" si="43"/>
        <v>0</v>
      </c>
      <c r="BM86" s="235">
        <f t="shared" si="43"/>
        <v>0</v>
      </c>
      <c r="BN86" s="235">
        <f t="shared" si="43"/>
        <v>0</v>
      </c>
      <c r="BO86" s="235">
        <f t="shared" si="43"/>
        <v>0</v>
      </c>
      <c r="BP86" s="235">
        <f t="shared" si="43"/>
        <v>0</v>
      </c>
      <c r="BQ86" s="235">
        <f t="shared" si="44"/>
        <v>0</v>
      </c>
      <c r="BR86" s="235">
        <f t="shared" si="44"/>
        <v>0</v>
      </c>
      <c r="BS86" s="235">
        <f t="shared" si="44"/>
        <v>0</v>
      </c>
      <c r="BT86" s="235">
        <f t="shared" si="44"/>
        <v>0</v>
      </c>
      <c r="BU86" s="235">
        <f t="shared" si="44"/>
        <v>0</v>
      </c>
      <c r="BV86" s="235">
        <f t="shared" si="44"/>
        <v>0</v>
      </c>
      <c r="BW86" s="236">
        <f t="shared" si="44"/>
        <v>0</v>
      </c>
    </row>
    <row r="87" spans="1:75">
      <c r="A87" s="225">
        <v>39283</v>
      </c>
      <c r="B87" s="213"/>
      <c r="C87" s="230">
        <f t="shared" ref="C87:S87" si="47">ROUND((C4-C5),2)</f>
        <v>0</v>
      </c>
      <c r="D87" s="230">
        <f t="shared" si="47"/>
        <v>0</v>
      </c>
      <c r="E87" s="230">
        <f t="shared" si="47"/>
        <v>0</v>
      </c>
      <c r="F87" s="230">
        <f t="shared" si="47"/>
        <v>0</v>
      </c>
      <c r="G87" s="230">
        <f t="shared" si="47"/>
        <v>0</v>
      </c>
      <c r="H87" s="230">
        <f t="shared" si="47"/>
        <v>0</v>
      </c>
      <c r="I87" s="230">
        <f t="shared" si="47"/>
        <v>0</v>
      </c>
      <c r="J87" s="230">
        <f t="shared" si="47"/>
        <v>0</v>
      </c>
      <c r="K87" s="230">
        <f t="shared" si="47"/>
        <v>0</v>
      </c>
      <c r="L87" s="230">
        <f t="shared" si="47"/>
        <v>0</v>
      </c>
      <c r="M87" s="230">
        <f t="shared" si="47"/>
        <v>0</v>
      </c>
      <c r="N87" s="230">
        <f t="shared" si="47"/>
        <v>0</v>
      </c>
      <c r="O87" s="230">
        <f t="shared" si="47"/>
        <v>0</v>
      </c>
      <c r="P87" s="230">
        <f t="shared" si="47"/>
        <v>0</v>
      </c>
      <c r="Q87" s="230">
        <f t="shared" si="47"/>
        <v>0</v>
      </c>
      <c r="R87" s="230">
        <f t="shared" si="47"/>
        <v>0</v>
      </c>
      <c r="S87" s="230">
        <f t="shared" si="47"/>
        <v>0</v>
      </c>
      <c r="T87" s="209">
        <f t="shared" si="46"/>
        <v>0</v>
      </c>
      <c r="U87" s="225">
        <v>39283</v>
      </c>
      <c r="V87" s="225"/>
      <c r="W87" s="231"/>
      <c r="X87" s="231"/>
      <c r="Y87" s="231"/>
      <c r="Z87" s="231"/>
      <c r="AA87" s="231"/>
      <c r="AB87" s="231"/>
      <c r="AC87" s="231"/>
      <c r="AD87" s="231"/>
      <c r="AE87" s="231"/>
      <c r="AF87" s="231"/>
      <c r="AG87" s="231"/>
      <c r="AH87" s="231"/>
      <c r="AI87" s="231"/>
      <c r="AJ87" s="231"/>
      <c r="AK87" s="231"/>
      <c r="AL87" s="231"/>
      <c r="AM87" s="232"/>
      <c r="AN87" s="225">
        <v>39283</v>
      </c>
      <c r="AO87" s="233">
        <f t="shared" si="26"/>
        <v>0</v>
      </c>
      <c r="AP87" s="231">
        <f t="shared" si="27"/>
        <v>0</v>
      </c>
      <c r="AQ87" s="231">
        <f t="shared" si="28"/>
        <v>0</v>
      </c>
      <c r="AR87" s="231">
        <f t="shared" si="29"/>
        <v>0</v>
      </c>
      <c r="AS87" s="231">
        <f t="shared" si="30"/>
        <v>0</v>
      </c>
      <c r="AT87" s="231">
        <f t="shared" si="31"/>
        <v>0</v>
      </c>
      <c r="AU87" s="231">
        <f t="shared" si="32"/>
        <v>0</v>
      </c>
      <c r="AV87" s="231">
        <f t="shared" si="33"/>
        <v>0</v>
      </c>
      <c r="AW87" s="231">
        <f t="shared" si="34"/>
        <v>0</v>
      </c>
      <c r="AX87" s="231">
        <f t="shared" si="35"/>
        <v>0</v>
      </c>
      <c r="AY87" s="231">
        <f t="shared" si="36"/>
        <v>0</v>
      </c>
      <c r="AZ87" s="231">
        <f t="shared" si="37"/>
        <v>0</v>
      </c>
      <c r="BA87" s="231">
        <f t="shared" si="38"/>
        <v>0</v>
      </c>
      <c r="BB87" s="231">
        <f t="shared" si="39"/>
        <v>0</v>
      </c>
      <c r="BC87" s="231">
        <f t="shared" si="40"/>
        <v>0</v>
      </c>
      <c r="BD87" s="231">
        <f t="shared" si="41"/>
        <v>0</v>
      </c>
      <c r="BE87" s="232">
        <f t="shared" si="42"/>
        <v>0</v>
      </c>
      <c r="BF87" s="225">
        <v>39283</v>
      </c>
      <c r="BG87" s="234">
        <f t="shared" ref="BG87:BG118" si="48">+BG86+AO87</f>
        <v>0</v>
      </c>
      <c r="BH87" s="235">
        <f t="shared" ref="BH87:BH118" si="49">+BH86+AP87</f>
        <v>0</v>
      </c>
      <c r="BI87" s="235">
        <f t="shared" ref="BI87:BI118" si="50">+BI86+AQ87</f>
        <v>0</v>
      </c>
      <c r="BJ87" s="235">
        <f t="shared" ref="BJ87:BJ118" si="51">+BJ86+AR87</f>
        <v>0</v>
      </c>
      <c r="BK87" s="235">
        <f t="shared" ref="BK87:BK118" si="52">+BK86+AS87</f>
        <v>0</v>
      </c>
      <c r="BL87" s="235">
        <f t="shared" ref="BL87:BL118" si="53">+BL86+AT87</f>
        <v>0</v>
      </c>
      <c r="BM87" s="235">
        <f t="shared" ref="BM87:BM118" si="54">+BM86+AU87</f>
        <v>0</v>
      </c>
      <c r="BN87" s="235">
        <f t="shared" ref="BN87:BN118" si="55">+BN86+AV87</f>
        <v>0</v>
      </c>
      <c r="BO87" s="235">
        <f t="shared" ref="BO87:BO118" si="56">+BO86+AW87</f>
        <v>0</v>
      </c>
      <c r="BP87" s="235">
        <f t="shared" ref="BP87:BP118" si="57">+BP86+AX87</f>
        <v>0</v>
      </c>
      <c r="BQ87" s="235">
        <f t="shared" ref="BQ87:BQ118" si="58">+BQ86+AY87</f>
        <v>0</v>
      </c>
      <c r="BR87" s="235">
        <f t="shared" ref="BR87:BR118" si="59">+BR86+AZ87</f>
        <v>0</v>
      </c>
      <c r="BS87" s="235">
        <f t="shared" ref="BS87:BS118" si="60">+BS86+BA87</f>
        <v>0</v>
      </c>
      <c r="BT87" s="235">
        <f t="shared" ref="BT87:BT118" si="61">+BT86+BB87</f>
        <v>0</v>
      </c>
      <c r="BU87" s="235">
        <f t="shared" ref="BU87:BU118" si="62">+BU86+BC87</f>
        <v>0</v>
      </c>
      <c r="BV87" s="235">
        <f t="shared" ref="BV87:BV118" si="63">+BV86+BD87</f>
        <v>0</v>
      </c>
      <c r="BW87" s="236">
        <f t="shared" ref="BW87:BW118" si="64">+BW86+BE87</f>
        <v>0</v>
      </c>
    </row>
    <row r="88" spans="1:75">
      <c r="A88" s="225">
        <v>39314</v>
      </c>
      <c r="B88" s="213"/>
      <c r="C88" s="230">
        <f t="shared" ref="C88:S88" si="65">ROUND((C5-C6),2)</f>
        <v>77145977.180000007</v>
      </c>
      <c r="D88" s="230">
        <f t="shared" si="65"/>
        <v>22512184.68</v>
      </c>
      <c r="E88" s="230">
        <f t="shared" si="65"/>
        <v>10895928.1</v>
      </c>
      <c r="F88" s="230">
        <f t="shared" si="65"/>
        <v>0</v>
      </c>
      <c r="G88" s="230">
        <f t="shared" si="65"/>
        <v>0</v>
      </c>
      <c r="H88" s="230">
        <f t="shared" si="65"/>
        <v>0</v>
      </c>
      <c r="I88" s="230">
        <f t="shared" si="65"/>
        <v>0</v>
      </c>
      <c r="J88" s="230">
        <f t="shared" si="65"/>
        <v>0</v>
      </c>
      <c r="K88" s="230">
        <f t="shared" si="65"/>
        <v>0</v>
      </c>
      <c r="L88" s="230">
        <f t="shared" si="65"/>
        <v>0</v>
      </c>
      <c r="M88" s="230">
        <f t="shared" si="65"/>
        <v>0</v>
      </c>
      <c r="N88" s="230">
        <f t="shared" si="65"/>
        <v>0</v>
      </c>
      <c r="O88" s="230">
        <f t="shared" si="65"/>
        <v>0</v>
      </c>
      <c r="P88" s="230">
        <f t="shared" si="65"/>
        <v>0</v>
      </c>
      <c r="Q88" s="230">
        <f t="shared" si="65"/>
        <v>0</v>
      </c>
      <c r="R88" s="230">
        <f t="shared" si="65"/>
        <v>0</v>
      </c>
      <c r="S88" s="230">
        <f t="shared" si="65"/>
        <v>0</v>
      </c>
      <c r="T88" s="209">
        <f t="shared" si="46"/>
        <v>110554089.96000001</v>
      </c>
      <c r="U88" s="225">
        <v>39314</v>
      </c>
      <c r="V88" s="595">
        <v>77145977.180000007</v>
      </c>
      <c r="W88" s="356">
        <v>22512184.68</v>
      </c>
      <c r="X88" s="356">
        <v>10895928.1</v>
      </c>
      <c r="Y88" s="231"/>
      <c r="Z88" s="231"/>
      <c r="AA88" s="231"/>
      <c r="AB88" s="231"/>
      <c r="AC88" s="231"/>
      <c r="AD88" s="231"/>
      <c r="AE88" s="231"/>
      <c r="AF88" s="231"/>
      <c r="AG88" s="231"/>
      <c r="AH88" s="231"/>
      <c r="AI88" s="231"/>
      <c r="AJ88" s="231"/>
      <c r="AK88" s="231"/>
      <c r="AL88" s="231"/>
      <c r="AM88" s="232"/>
      <c r="AN88" s="225">
        <v>39314</v>
      </c>
      <c r="AO88" s="233">
        <f t="shared" si="26"/>
        <v>0</v>
      </c>
      <c r="AP88" s="231">
        <f t="shared" si="27"/>
        <v>0</v>
      </c>
      <c r="AQ88" s="231">
        <f t="shared" si="28"/>
        <v>0</v>
      </c>
      <c r="AR88" s="231">
        <f t="shared" si="29"/>
        <v>0</v>
      </c>
      <c r="AS88" s="231">
        <f t="shared" si="30"/>
        <v>0</v>
      </c>
      <c r="AT88" s="231">
        <f t="shared" si="31"/>
        <v>0</v>
      </c>
      <c r="AU88" s="231">
        <f t="shared" si="32"/>
        <v>0</v>
      </c>
      <c r="AV88" s="231">
        <f t="shared" si="33"/>
        <v>0</v>
      </c>
      <c r="AW88" s="231">
        <f t="shared" si="34"/>
        <v>0</v>
      </c>
      <c r="AX88" s="231">
        <f t="shared" si="35"/>
        <v>0</v>
      </c>
      <c r="AY88" s="231">
        <f t="shared" si="36"/>
        <v>0</v>
      </c>
      <c r="AZ88" s="231">
        <f t="shared" si="37"/>
        <v>0</v>
      </c>
      <c r="BA88" s="231">
        <f t="shared" si="38"/>
        <v>0</v>
      </c>
      <c r="BB88" s="231">
        <f t="shared" si="39"/>
        <v>0</v>
      </c>
      <c r="BC88" s="231">
        <f t="shared" si="40"/>
        <v>0</v>
      </c>
      <c r="BD88" s="231">
        <f t="shared" si="41"/>
        <v>0</v>
      </c>
      <c r="BE88" s="232">
        <f t="shared" si="42"/>
        <v>0</v>
      </c>
      <c r="BF88" s="225">
        <v>39314</v>
      </c>
      <c r="BG88" s="234">
        <f t="shared" si="48"/>
        <v>0</v>
      </c>
      <c r="BH88" s="235">
        <f t="shared" si="49"/>
        <v>0</v>
      </c>
      <c r="BI88" s="235">
        <f t="shared" si="50"/>
        <v>0</v>
      </c>
      <c r="BJ88" s="235">
        <f t="shared" si="51"/>
        <v>0</v>
      </c>
      <c r="BK88" s="235">
        <f t="shared" si="52"/>
        <v>0</v>
      </c>
      <c r="BL88" s="235">
        <f t="shared" si="53"/>
        <v>0</v>
      </c>
      <c r="BM88" s="235">
        <f t="shared" si="54"/>
        <v>0</v>
      </c>
      <c r="BN88" s="235">
        <f t="shared" si="55"/>
        <v>0</v>
      </c>
      <c r="BO88" s="235">
        <f t="shared" si="56"/>
        <v>0</v>
      </c>
      <c r="BP88" s="235">
        <f t="shared" si="57"/>
        <v>0</v>
      </c>
      <c r="BQ88" s="235">
        <f t="shared" si="58"/>
        <v>0</v>
      </c>
      <c r="BR88" s="235">
        <f t="shared" si="59"/>
        <v>0</v>
      </c>
      <c r="BS88" s="235">
        <f t="shared" si="60"/>
        <v>0</v>
      </c>
      <c r="BT88" s="235">
        <f t="shared" si="61"/>
        <v>0</v>
      </c>
      <c r="BU88" s="235">
        <f t="shared" si="62"/>
        <v>0</v>
      </c>
      <c r="BV88" s="235">
        <f t="shared" si="63"/>
        <v>0</v>
      </c>
      <c r="BW88" s="236">
        <f t="shared" si="64"/>
        <v>0</v>
      </c>
    </row>
    <row r="89" spans="1:75">
      <c r="A89" s="225">
        <v>39345</v>
      </c>
      <c r="B89" s="213"/>
      <c r="C89" s="230">
        <f t="shared" ref="C89:S89" si="66">ROUND((C6-C7),2)</f>
        <v>0</v>
      </c>
      <c r="D89" s="230">
        <f t="shared" si="66"/>
        <v>0</v>
      </c>
      <c r="E89" s="230">
        <f t="shared" si="66"/>
        <v>0</v>
      </c>
      <c r="F89" s="230">
        <f t="shared" si="66"/>
        <v>0</v>
      </c>
      <c r="G89" s="230">
        <f t="shared" si="66"/>
        <v>0</v>
      </c>
      <c r="H89" s="230">
        <f t="shared" si="66"/>
        <v>0</v>
      </c>
      <c r="I89" s="230">
        <f t="shared" si="66"/>
        <v>0</v>
      </c>
      <c r="J89" s="230">
        <f t="shared" si="66"/>
        <v>0</v>
      </c>
      <c r="K89" s="230">
        <f t="shared" si="66"/>
        <v>0</v>
      </c>
      <c r="L89" s="230">
        <f t="shared" si="66"/>
        <v>0</v>
      </c>
      <c r="M89" s="230">
        <f t="shared" si="66"/>
        <v>0</v>
      </c>
      <c r="N89" s="230">
        <f t="shared" si="66"/>
        <v>0</v>
      </c>
      <c r="O89" s="230">
        <f t="shared" si="66"/>
        <v>0</v>
      </c>
      <c r="P89" s="230">
        <f t="shared" si="66"/>
        <v>0</v>
      </c>
      <c r="Q89" s="230">
        <f t="shared" si="66"/>
        <v>0</v>
      </c>
      <c r="R89" s="230">
        <f t="shared" si="66"/>
        <v>0</v>
      </c>
      <c r="S89" s="230">
        <f t="shared" si="66"/>
        <v>0</v>
      </c>
      <c r="T89" s="209">
        <f t="shared" si="46"/>
        <v>0</v>
      </c>
      <c r="U89" s="225">
        <v>39345</v>
      </c>
      <c r="V89" s="225"/>
      <c r="W89" s="231"/>
      <c r="X89" s="231"/>
      <c r="Y89" s="231"/>
      <c r="Z89" s="231"/>
      <c r="AA89" s="231"/>
      <c r="AB89" s="231"/>
      <c r="AC89" s="231"/>
      <c r="AD89" s="231"/>
      <c r="AE89" s="231"/>
      <c r="AF89" s="231"/>
      <c r="AG89" s="231"/>
      <c r="AH89" s="231"/>
      <c r="AI89" s="231"/>
      <c r="AJ89" s="231"/>
      <c r="AK89" s="231"/>
      <c r="AL89" s="231"/>
      <c r="AM89" s="232"/>
      <c r="AN89" s="225">
        <v>39345</v>
      </c>
      <c r="AO89" s="233">
        <f t="shared" si="26"/>
        <v>0</v>
      </c>
      <c r="AP89" s="231">
        <f t="shared" si="27"/>
        <v>0</v>
      </c>
      <c r="AQ89" s="231">
        <f t="shared" si="28"/>
        <v>0</v>
      </c>
      <c r="AR89" s="231">
        <f t="shared" si="29"/>
        <v>0</v>
      </c>
      <c r="AS89" s="231">
        <f t="shared" si="30"/>
        <v>0</v>
      </c>
      <c r="AT89" s="231">
        <f t="shared" si="31"/>
        <v>0</v>
      </c>
      <c r="AU89" s="231">
        <f t="shared" si="32"/>
        <v>0</v>
      </c>
      <c r="AV89" s="231">
        <f t="shared" si="33"/>
        <v>0</v>
      </c>
      <c r="AW89" s="231">
        <f t="shared" si="34"/>
        <v>0</v>
      </c>
      <c r="AX89" s="231">
        <f t="shared" si="35"/>
        <v>0</v>
      </c>
      <c r="AY89" s="231">
        <f t="shared" si="36"/>
        <v>0</v>
      </c>
      <c r="AZ89" s="231">
        <f t="shared" si="37"/>
        <v>0</v>
      </c>
      <c r="BA89" s="231">
        <f t="shared" si="38"/>
        <v>0</v>
      </c>
      <c r="BB89" s="231">
        <f t="shared" si="39"/>
        <v>0</v>
      </c>
      <c r="BC89" s="231">
        <f t="shared" si="40"/>
        <v>0</v>
      </c>
      <c r="BD89" s="231">
        <f t="shared" si="41"/>
        <v>0</v>
      </c>
      <c r="BE89" s="232">
        <f t="shared" si="42"/>
        <v>0</v>
      </c>
      <c r="BF89" s="225">
        <v>39345</v>
      </c>
      <c r="BG89" s="234">
        <f t="shared" si="48"/>
        <v>0</v>
      </c>
      <c r="BH89" s="235">
        <f t="shared" si="49"/>
        <v>0</v>
      </c>
      <c r="BI89" s="235">
        <f t="shared" si="50"/>
        <v>0</v>
      </c>
      <c r="BJ89" s="235">
        <f t="shared" si="51"/>
        <v>0</v>
      </c>
      <c r="BK89" s="235">
        <f t="shared" si="52"/>
        <v>0</v>
      </c>
      <c r="BL89" s="235">
        <f t="shared" si="53"/>
        <v>0</v>
      </c>
      <c r="BM89" s="235">
        <f t="shared" si="54"/>
        <v>0</v>
      </c>
      <c r="BN89" s="235">
        <f t="shared" si="55"/>
        <v>0</v>
      </c>
      <c r="BO89" s="235">
        <f t="shared" si="56"/>
        <v>0</v>
      </c>
      <c r="BP89" s="235">
        <f t="shared" si="57"/>
        <v>0</v>
      </c>
      <c r="BQ89" s="235">
        <f t="shared" si="58"/>
        <v>0</v>
      </c>
      <c r="BR89" s="235">
        <f t="shared" si="59"/>
        <v>0</v>
      </c>
      <c r="BS89" s="235">
        <f t="shared" si="60"/>
        <v>0</v>
      </c>
      <c r="BT89" s="235">
        <f t="shared" si="61"/>
        <v>0</v>
      </c>
      <c r="BU89" s="235">
        <f t="shared" si="62"/>
        <v>0</v>
      </c>
      <c r="BV89" s="235">
        <f t="shared" si="63"/>
        <v>0</v>
      </c>
      <c r="BW89" s="236">
        <f t="shared" si="64"/>
        <v>0</v>
      </c>
    </row>
    <row r="90" spans="1:75">
      <c r="A90" s="225">
        <v>39375</v>
      </c>
      <c r="B90" s="213"/>
      <c r="C90" s="230">
        <f t="shared" ref="C90:S90" si="67">ROUND((C7-C8),2)</f>
        <v>0</v>
      </c>
      <c r="D90" s="230">
        <f t="shared" si="67"/>
        <v>0</v>
      </c>
      <c r="E90" s="230">
        <f t="shared" si="67"/>
        <v>0</v>
      </c>
      <c r="F90" s="230">
        <f t="shared" si="67"/>
        <v>0</v>
      </c>
      <c r="G90" s="230">
        <f t="shared" si="67"/>
        <v>0</v>
      </c>
      <c r="H90" s="230">
        <f t="shared" si="67"/>
        <v>0</v>
      </c>
      <c r="I90" s="230">
        <f t="shared" si="67"/>
        <v>0</v>
      </c>
      <c r="J90" s="230">
        <f t="shared" si="67"/>
        <v>0</v>
      </c>
      <c r="K90" s="230">
        <f t="shared" si="67"/>
        <v>0</v>
      </c>
      <c r="L90" s="230">
        <f t="shared" si="67"/>
        <v>0</v>
      </c>
      <c r="M90" s="230">
        <f t="shared" si="67"/>
        <v>0</v>
      </c>
      <c r="N90" s="230">
        <f t="shared" si="67"/>
        <v>0</v>
      </c>
      <c r="O90" s="230">
        <f t="shared" si="67"/>
        <v>0</v>
      </c>
      <c r="P90" s="230">
        <f t="shared" si="67"/>
        <v>0</v>
      </c>
      <c r="Q90" s="230">
        <f t="shared" si="67"/>
        <v>0</v>
      </c>
      <c r="R90" s="230">
        <f t="shared" si="67"/>
        <v>0</v>
      </c>
      <c r="S90" s="230">
        <f t="shared" si="67"/>
        <v>0</v>
      </c>
      <c r="T90" s="209">
        <f t="shared" si="46"/>
        <v>0</v>
      </c>
      <c r="U90" s="225">
        <v>39375</v>
      </c>
      <c r="V90" s="225"/>
      <c r="W90" s="231"/>
      <c r="X90" s="231"/>
      <c r="Y90" s="231"/>
      <c r="Z90" s="231"/>
      <c r="AA90" s="231"/>
      <c r="AB90" s="231"/>
      <c r="AC90" s="231"/>
      <c r="AD90" s="231"/>
      <c r="AE90" s="231"/>
      <c r="AF90" s="231"/>
      <c r="AG90" s="231"/>
      <c r="AH90" s="231"/>
      <c r="AI90" s="231"/>
      <c r="AJ90" s="231"/>
      <c r="AK90" s="231"/>
      <c r="AL90" s="231"/>
      <c r="AM90" s="232"/>
      <c r="AN90" s="225">
        <v>39375</v>
      </c>
      <c r="AO90" s="233">
        <f t="shared" si="26"/>
        <v>0</v>
      </c>
      <c r="AP90" s="231">
        <f t="shared" si="27"/>
        <v>0</v>
      </c>
      <c r="AQ90" s="231">
        <f t="shared" si="28"/>
        <v>0</v>
      </c>
      <c r="AR90" s="231">
        <f t="shared" si="29"/>
        <v>0</v>
      </c>
      <c r="AS90" s="231">
        <f t="shared" si="30"/>
        <v>0</v>
      </c>
      <c r="AT90" s="231">
        <f t="shared" si="31"/>
        <v>0</v>
      </c>
      <c r="AU90" s="231">
        <f t="shared" si="32"/>
        <v>0</v>
      </c>
      <c r="AV90" s="231">
        <f t="shared" si="33"/>
        <v>0</v>
      </c>
      <c r="AW90" s="231">
        <f t="shared" si="34"/>
        <v>0</v>
      </c>
      <c r="AX90" s="231">
        <f t="shared" si="35"/>
        <v>0</v>
      </c>
      <c r="AY90" s="231">
        <f t="shared" si="36"/>
        <v>0</v>
      </c>
      <c r="AZ90" s="231">
        <f t="shared" si="37"/>
        <v>0</v>
      </c>
      <c r="BA90" s="231">
        <f t="shared" si="38"/>
        <v>0</v>
      </c>
      <c r="BB90" s="231">
        <f t="shared" si="39"/>
        <v>0</v>
      </c>
      <c r="BC90" s="231">
        <f t="shared" si="40"/>
        <v>0</v>
      </c>
      <c r="BD90" s="231">
        <f t="shared" si="41"/>
        <v>0</v>
      </c>
      <c r="BE90" s="232">
        <f t="shared" si="42"/>
        <v>0</v>
      </c>
      <c r="BF90" s="225">
        <v>39375</v>
      </c>
      <c r="BG90" s="234">
        <f t="shared" si="48"/>
        <v>0</v>
      </c>
      <c r="BH90" s="235">
        <f t="shared" si="49"/>
        <v>0</v>
      </c>
      <c r="BI90" s="235">
        <f t="shared" si="50"/>
        <v>0</v>
      </c>
      <c r="BJ90" s="235">
        <f t="shared" si="51"/>
        <v>0</v>
      </c>
      <c r="BK90" s="235">
        <f t="shared" si="52"/>
        <v>0</v>
      </c>
      <c r="BL90" s="235">
        <f t="shared" si="53"/>
        <v>0</v>
      </c>
      <c r="BM90" s="235">
        <f t="shared" si="54"/>
        <v>0</v>
      </c>
      <c r="BN90" s="235">
        <f t="shared" si="55"/>
        <v>0</v>
      </c>
      <c r="BO90" s="235">
        <f t="shared" si="56"/>
        <v>0</v>
      </c>
      <c r="BP90" s="235">
        <f t="shared" si="57"/>
        <v>0</v>
      </c>
      <c r="BQ90" s="235">
        <f t="shared" si="58"/>
        <v>0</v>
      </c>
      <c r="BR90" s="235">
        <f t="shared" si="59"/>
        <v>0</v>
      </c>
      <c r="BS90" s="235">
        <f t="shared" si="60"/>
        <v>0</v>
      </c>
      <c r="BT90" s="235">
        <f t="shared" si="61"/>
        <v>0</v>
      </c>
      <c r="BU90" s="235">
        <f t="shared" si="62"/>
        <v>0</v>
      </c>
      <c r="BV90" s="235">
        <f t="shared" si="63"/>
        <v>0</v>
      </c>
      <c r="BW90" s="236">
        <f t="shared" si="64"/>
        <v>0</v>
      </c>
    </row>
    <row r="91" spans="1:75">
      <c r="A91" s="225">
        <v>39406</v>
      </c>
      <c r="B91" s="213"/>
      <c r="C91" s="230">
        <f t="shared" ref="C91:S91" si="68">ROUND((C8-C9),2)</f>
        <v>223014410.36000001</v>
      </c>
      <c r="D91" s="230">
        <f t="shared" si="68"/>
        <v>65078462.630000003</v>
      </c>
      <c r="E91" s="230">
        <f t="shared" si="68"/>
        <v>31498064.690000001</v>
      </c>
      <c r="F91" s="230">
        <f t="shared" si="68"/>
        <v>0</v>
      </c>
      <c r="G91" s="230">
        <f t="shared" si="68"/>
        <v>0</v>
      </c>
      <c r="H91" s="230">
        <f t="shared" si="68"/>
        <v>0</v>
      </c>
      <c r="I91" s="230">
        <f t="shared" si="68"/>
        <v>0</v>
      </c>
      <c r="J91" s="230">
        <f t="shared" si="68"/>
        <v>0</v>
      </c>
      <c r="K91" s="230">
        <f t="shared" si="68"/>
        <v>0</v>
      </c>
      <c r="L91" s="230">
        <f t="shared" si="68"/>
        <v>0</v>
      </c>
      <c r="M91" s="230">
        <f t="shared" si="68"/>
        <v>0</v>
      </c>
      <c r="N91" s="230">
        <f t="shared" si="68"/>
        <v>0</v>
      </c>
      <c r="O91" s="230">
        <f t="shared" si="68"/>
        <v>0</v>
      </c>
      <c r="P91" s="230">
        <f t="shared" si="68"/>
        <v>0</v>
      </c>
      <c r="Q91" s="230">
        <f t="shared" si="68"/>
        <v>0</v>
      </c>
      <c r="R91" s="230">
        <f t="shared" si="68"/>
        <v>0</v>
      </c>
      <c r="S91" s="230">
        <f t="shared" si="68"/>
        <v>0</v>
      </c>
      <c r="T91" s="209">
        <f t="shared" si="46"/>
        <v>319590937.68000001</v>
      </c>
      <c r="U91" s="225">
        <v>39406</v>
      </c>
      <c r="V91" s="595">
        <v>223014410.36000001</v>
      </c>
      <c r="W91" s="356">
        <v>65078462.630000003</v>
      </c>
      <c r="X91" s="356">
        <v>31498064.690000001</v>
      </c>
      <c r="Y91" s="231"/>
      <c r="Z91" s="231"/>
      <c r="AA91" s="231"/>
      <c r="AB91" s="231"/>
      <c r="AC91" s="231"/>
      <c r="AD91" s="231"/>
      <c r="AE91" s="231"/>
      <c r="AF91" s="231"/>
      <c r="AG91" s="231"/>
      <c r="AH91" s="231"/>
      <c r="AI91" s="231"/>
      <c r="AJ91" s="231"/>
      <c r="AK91" s="231"/>
      <c r="AL91" s="231"/>
      <c r="AM91" s="232"/>
      <c r="AN91" s="225">
        <v>39406</v>
      </c>
      <c r="AO91" s="233">
        <f t="shared" si="26"/>
        <v>0</v>
      </c>
      <c r="AP91" s="231">
        <f t="shared" si="27"/>
        <v>0</v>
      </c>
      <c r="AQ91" s="231">
        <f t="shared" si="28"/>
        <v>0</v>
      </c>
      <c r="AR91" s="231">
        <f t="shared" si="29"/>
        <v>0</v>
      </c>
      <c r="AS91" s="231">
        <f t="shared" si="30"/>
        <v>0</v>
      </c>
      <c r="AT91" s="231">
        <f t="shared" si="31"/>
        <v>0</v>
      </c>
      <c r="AU91" s="231">
        <f t="shared" si="32"/>
        <v>0</v>
      </c>
      <c r="AV91" s="231">
        <f t="shared" si="33"/>
        <v>0</v>
      </c>
      <c r="AW91" s="231">
        <f t="shared" si="34"/>
        <v>0</v>
      </c>
      <c r="AX91" s="231">
        <f t="shared" si="35"/>
        <v>0</v>
      </c>
      <c r="AY91" s="231">
        <f t="shared" si="36"/>
        <v>0</v>
      </c>
      <c r="AZ91" s="231">
        <f t="shared" si="37"/>
        <v>0</v>
      </c>
      <c r="BA91" s="231">
        <f t="shared" si="38"/>
        <v>0</v>
      </c>
      <c r="BB91" s="231">
        <f t="shared" si="39"/>
        <v>0</v>
      </c>
      <c r="BC91" s="231">
        <f t="shared" si="40"/>
        <v>0</v>
      </c>
      <c r="BD91" s="231">
        <f t="shared" si="41"/>
        <v>0</v>
      </c>
      <c r="BE91" s="232">
        <f t="shared" si="42"/>
        <v>0</v>
      </c>
      <c r="BF91" s="225">
        <v>39406</v>
      </c>
      <c r="BG91" s="234">
        <f t="shared" si="48"/>
        <v>0</v>
      </c>
      <c r="BH91" s="235">
        <f t="shared" si="49"/>
        <v>0</v>
      </c>
      <c r="BI91" s="235">
        <f t="shared" si="50"/>
        <v>0</v>
      </c>
      <c r="BJ91" s="235">
        <f t="shared" si="51"/>
        <v>0</v>
      </c>
      <c r="BK91" s="235">
        <f t="shared" si="52"/>
        <v>0</v>
      </c>
      <c r="BL91" s="235">
        <f t="shared" si="53"/>
        <v>0</v>
      </c>
      <c r="BM91" s="235">
        <f t="shared" si="54"/>
        <v>0</v>
      </c>
      <c r="BN91" s="235">
        <f t="shared" si="55"/>
        <v>0</v>
      </c>
      <c r="BO91" s="235">
        <f t="shared" si="56"/>
        <v>0</v>
      </c>
      <c r="BP91" s="235">
        <f t="shared" si="57"/>
        <v>0</v>
      </c>
      <c r="BQ91" s="235">
        <f t="shared" si="58"/>
        <v>0</v>
      </c>
      <c r="BR91" s="235">
        <f t="shared" si="59"/>
        <v>0</v>
      </c>
      <c r="BS91" s="235">
        <f t="shared" si="60"/>
        <v>0</v>
      </c>
      <c r="BT91" s="235">
        <f t="shared" si="61"/>
        <v>0</v>
      </c>
      <c r="BU91" s="235">
        <f t="shared" si="62"/>
        <v>0</v>
      </c>
      <c r="BV91" s="235">
        <f t="shared" si="63"/>
        <v>0</v>
      </c>
      <c r="BW91" s="236">
        <f t="shared" si="64"/>
        <v>0</v>
      </c>
    </row>
    <row r="92" spans="1:75">
      <c r="A92" s="225">
        <v>39436</v>
      </c>
      <c r="B92" s="213"/>
      <c r="C92" s="230">
        <f t="shared" ref="C92:S92" si="69">ROUND((C9-C10),2)</f>
        <v>0</v>
      </c>
      <c r="D92" s="230">
        <f t="shared" si="69"/>
        <v>0</v>
      </c>
      <c r="E92" s="230">
        <f t="shared" si="69"/>
        <v>0</v>
      </c>
      <c r="F92" s="230">
        <f t="shared" si="69"/>
        <v>0</v>
      </c>
      <c r="G92" s="230">
        <f t="shared" si="69"/>
        <v>0</v>
      </c>
      <c r="H92" s="230">
        <f t="shared" si="69"/>
        <v>0</v>
      </c>
      <c r="I92" s="230">
        <f t="shared" si="69"/>
        <v>0</v>
      </c>
      <c r="J92" s="230">
        <f t="shared" si="69"/>
        <v>0</v>
      </c>
      <c r="K92" s="230">
        <f t="shared" si="69"/>
        <v>0</v>
      </c>
      <c r="L92" s="230">
        <f t="shared" si="69"/>
        <v>0</v>
      </c>
      <c r="M92" s="230">
        <f t="shared" si="69"/>
        <v>0</v>
      </c>
      <c r="N92" s="230">
        <f t="shared" si="69"/>
        <v>0</v>
      </c>
      <c r="O92" s="230">
        <f t="shared" si="69"/>
        <v>0</v>
      </c>
      <c r="P92" s="230">
        <f t="shared" si="69"/>
        <v>0</v>
      </c>
      <c r="Q92" s="230">
        <f t="shared" si="69"/>
        <v>0</v>
      </c>
      <c r="R92" s="230">
        <f t="shared" si="69"/>
        <v>0</v>
      </c>
      <c r="S92" s="230">
        <f t="shared" si="69"/>
        <v>0</v>
      </c>
      <c r="T92" s="209">
        <f t="shared" si="46"/>
        <v>0</v>
      </c>
      <c r="U92" s="225">
        <v>39436</v>
      </c>
      <c r="V92" s="225"/>
      <c r="W92" s="231"/>
      <c r="X92" s="231"/>
      <c r="Y92" s="231"/>
      <c r="Z92" s="231"/>
      <c r="AA92" s="231"/>
      <c r="AB92" s="231"/>
      <c r="AC92" s="231"/>
      <c r="AD92" s="231"/>
      <c r="AE92" s="231"/>
      <c r="AF92" s="231"/>
      <c r="AG92" s="231"/>
      <c r="AH92" s="231"/>
      <c r="AI92" s="231"/>
      <c r="AJ92" s="231"/>
      <c r="AK92" s="231"/>
      <c r="AL92" s="231"/>
      <c r="AM92" s="232"/>
      <c r="AN92" s="225">
        <v>39436</v>
      </c>
      <c r="AO92" s="233">
        <f t="shared" si="26"/>
        <v>0</v>
      </c>
      <c r="AP92" s="231">
        <f t="shared" si="27"/>
        <v>0</v>
      </c>
      <c r="AQ92" s="231">
        <f t="shared" si="28"/>
        <v>0</v>
      </c>
      <c r="AR92" s="231">
        <f t="shared" si="29"/>
        <v>0</v>
      </c>
      <c r="AS92" s="231">
        <f t="shared" si="30"/>
        <v>0</v>
      </c>
      <c r="AT92" s="231">
        <f t="shared" si="31"/>
        <v>0</v>
      </c>
      <c r="AU92" s="231">
        <f t="shared" si="32"/>
        <v>0</v>
      </c>
      <c r="AV92" s="231">
        <f t="shared" si="33"/>
        <v>0</v>
      </c>
      <c r="AW92" s="231">
        <f t="shared" si="34"/>
        <v>0</v>
      </c>
      <c r="AX92" s="231">
        <f t="shared" si="35"/>
        <v>0</v>
      </c>
      <c r="AY92" s="231">
        <f t="shared" si="36"/>
        <v>0</v>
      </c>
      <c r="AZ92" s="231">
        <f t="shared" si="37"/>
        <v>0</v>
      </c>
      <c r="BA92" s="231">
        <f t="shared" si="38"/>
        <v>0</v>
      </c>
      <c r="BB92" s="231">
        <f t="shared" si="39"/>
        <v>0</v>
      </c>
      <c r="BC92" s="231">
        <f t="shared" si="40"/>
        <v>0</v>
      </c>
      <c r="BD92" s="231">
        <f t="shared" si="41"/>
        <v>0</v>
      </c>
      <c r="BE92" s="232">
        <f t="shared" si="42"/>
        <v>0</v>
      </c>
      <c r="BF92" s="225">
        <v>39436</v>
      </c>
      <c r="BG92" s="234">
        <f t="shared" si="48"/>
        <v>0</v>
      </c>
      <c r="BH92" s="235">
        <f t="shared" si="49"/>
        <v>0</v>
      </c>
      <c r="BI92" s="235">
        <f t="shared" si="50"/>
        <v>0</v>
      </c>
      <c r="BJ92" s="235">
        <f t="shared" si="51"/>
        <v>0</v>
      </c>
      <c r="BK92" s="235">
        <f t="shared" si="52"/>
        <v>0</v>
      </c>
      <c r="BL92" s="235">
        <f t="shared" si="53"/>
        <v>0</v>
      </c>
      <c r="BM92" s="235">
        <f t="shared" si="54"/>
        <v>0</v>
      </c>
      <c r="BN92" s="235">
        <f t="shared" si="55"/>
        <v>0</v>
      </c>
      <c r="BO92" s="235">
        <f t="shared" si="56"/>
        <v>0</v>
      </c>
      <c r="BP92" s="235">
        <f t="shared" si="57"/>
        <v>0</v>
      </c>
      <c r="BQ92" s="235">
        <f t="shared" si="58"/>
        <v>0</v>
      </c>
      <c r="BR92" s="235">
        <f t="shared" si="59"/>
        <v>0</v>
      </c>
      <c r="BS92" s="235">
        <f t="shared" si="60"/>
        <v>0</v>
      </c>
      <c r="BT92" s="235">
        <f t="shared" si="61"/>
        <v>0</v>
      </c>
      <c r="BU92" s="235">
        <f t="shared" si="62"/>
        <v>0</v>
      </c>
      <c r="BV92" s="235">
        <f t="shared" si="63"/>
        <v>0</v>
      </c>
      <c r="BW92" s="236">
        <f t="shared" si="64"/>
        <v>0</v>
      </c>
    </row>
    <row r="93" spans="1:75">
      <c r="A93" s="225">
        <v>39467</v>
      </c>
      <c r="B93" s="237"/>
      <c r="C93" s="230">
        <f t="shared" ref="C93:S93" si="70">ROUND((C10-C11),2)</f>
        <v>0</v>
      </c>
      <c r="D93" s="230">
        <f t="shared" si="70"/>
        <v>0</v>
      </c>
      <c r="E93" s="230">
        <f t="shared" si="70"/>
        <v>0</v>
      </c>
      <c r="F93" s="230">
        <f t="shared" si="70"/>
        <v>0</v>
      </c>
      <c r="G93" s="230">
        <f t="shared" si="70"/>
        <v>0</v>
      </c>
      <c r="H93" s="230">
        <f t="shared" si="70"/>
        <v>0</v>
      </c>
      <c r="I93" s="230">
        <f t="shared" si="70"/>
        <v>0</v>
      </c>
      <c r="J93" s="230">
        <f t="shared" si="70"/>
        <v>0</v>
      </c>
      <c r="K93" s="230">
        <f t="shared" si="70"/>
        <v>0</v>
      </c>
      <c r="L93" s="230">
        <f t="shared" si="70"/>
        <v>0</v>
      </c>
      <c r="M93" s="230">
        <f t="shared" si="70"/>
        <v>0</v>
      </c>
      <c r="N93" s="230">
        <f t="shared" si="70"/>
        <v>0</v>
      </c>
      <c r="O93" s="230">
        <f t="shared" si="70"/>
        <v>0</v>
      </c>
      <c r="P93" s="230">
        <f t="shared" si="70"/>
        <v>0</v>
      </c>
      <c r="Q93" s="230">
        <f t="shared" si="70"/>
        <v>0</v>
      </c>
      <c r="R93" s="230">
        <f t="shared" si="70"/>
        <v>0</v>
      </c>
      <c r="S93" s="230">
        <f t="shared" si="70"/>
        <v>0</v>
      </c>
      <c r="T93" s="209">
        <f t="shared" si="46"/>
        <v>0</v>
      </c>
      <c r="U93" s="225">
        <v>39467</v>
      </c>
      <c r="V93" s="225"/>
      <c r="W93" s="231"/>
      <c r="X93" s="231"/>
      <c r="Y93" s="231"/>
      <c r="Z93" s="231"/>
      <c r="AA93" s="231"/>
      <c r="AB93" s="231"/>
      <c r="AC93" s="231"/>
      <c r="AD93" s="231"/>
      <c r="AE93" s="231"/>
      <c r="AF93" s="231"/>
      <c r="AG93" s="231"/>
      <c r="AH93" s="231"/>
      <c r="AI93" s="231"/>
      <c r="AJ93" s="231"/>
      <c r="AK93" s="231"/>
      <c r="AL93" s="231"/>
      <c r="AM93" s="232"/>
      <c r="AN93" s="225">
        <v>39467</v>
      </c>
      <c r="AO93" s="233">
        <f t="shared" si="26"/>
        <v>0</v>
      </c>
      <c r="AP93" s="231">
        <f t="shared" si="27"/>
        <v>0</v>
      </c>
      <c r="AQ93" s="231">
        <f t="shared" si="28"/>
        <v>0</v>
      </c>
      <c r="AR93" s="231">
        <f t="shared" si="29"/>
        <v>0</v>
      </c>
      <c r="AS93" s="231">
        <f t="shared" si="30"/>
        <v>0</v>
      </c>
      <c r="AT93" s="231">
        <f t="shared" si="31"/>
        <v>0</v>
      </c>
      <c r="AU93" s="231">
        <f t="shared" si="32"/>
        <v>0</v>
      </c>
      <c r="AV93" s="231">
        <f t="shared" si="33"/>
        <v>0</v>
      </c>
      <c r="AW93" s="231">
        <f t="shared" si="34"/>
        <v>0</v>
      </c>
      <c r="AX93" s="231">
        <f t="shared" si="35"/>
        <v>0</v>
      </c>
      <c r="AY93" s="231">
        <f t="shared" si="36"/>
        <v>0</v>
      </c>
      <c r="AZ93" s="231">
        <f t="shared" si="37"/>
        <v>0</v>
      </c>
      <c r="BA93" s="231">
        <f t="shared" si="38"/>
        <v>0</v>
      </c>
      <c r="BB93" s="231">
        <f t="shared" si="39"/>
        <v>0</v>
      </c>
      <c r="BC93" s="231">
        <f t="shared" si="40"/>
        <v>0</v>
      </c>
      <c r="BD93" s="231">
        <f t="shared" si="41"/>
        <v>0</v>
      </c>
      <c r="BE93" s="232">
        <f t="shared" si="42"/>
        <v>0</v>
      </c>
      <c r="BF93" s="225">
        <v>39467</v>
      </c>
      <c r="BG93" s="234">
        <f t="shared" si="48"/>
        <v>0</v>
      </c>
      <c r="BH93" s="235">
        <f t="shared" si="49"/>
        <v>0</v>
      </c>
      <c r="BI93" s="235">
        <f t="shared" si="50"/>
        <v>0</v>
      </c>
      <c r="BJ93" s="235">
        <f t="shared" si="51"/>
        <v>0</v>
      </c>
      <c r="BK93" s="235">
        <f t="shared" si="52"/>
        <v>0</v>
      </c>
      <c r="BL93" s="235">
        <f t="shared" si="53"/>
        <v>0</v>
      </c>
      <c r="BM93" s="235">
        <f t="shared" si="54"/>
        <v>0</v>
      </c>
      <c r="BN93" s="235">
        <f t="shared" si="55"/>
        <v>0</v>
      </c>
      <c r="BO93" s="235">
        <f t="shared" si="56"/>
        <v>0</v>
      </c>
      <c r="BP93" s="235">
        <f t="shared" si="57"/>
        <v>0</v>
      </c>
      <c r="BQ93" s="235">
        <f t="shared" si="58"/>
        <v>0</v>
      </c>
      <c r="BR93" s="235">
        <f t="shared" si="59"/>
        <v>0</v>
      </c>
      <c r="BS93" s="235">
        <f t="shared" si="60"/>
        <v>0</v>
      </c>
      <c r="BT93" s="235">
        <f t="shared" si="61"/>
        <v>0</v>
      </c>
      <c r="BU93" s="235">
        <f t="shared" si="62"/>
        <v>0</v>
      </c>
      <c r="BV93" s="235">
        <f t="shared" si="63"/>
        <v>0</v>
      </c>
      <c r="BW93" s="236">
        <f t="shared" si="64"/>
        <v>0</v>
      </c>
    </row>
    <row r="94" spans="1:75">
      <c r="A94" s="225">
        <v>39498</v>
      </c>
      <c r="B94" s="237"/>
      <c r="C94" s="364">
        <f t="shared" ref="C94:S94" si="71">ROUND((C11-C12),2)</f>
        <v>210914007.28</v>
      </c>
      <c r="D94" s="364">
        <f t="shared" si="71"/>
        <v>61547409.960000001</v>
      </c>
      <c r="E94" s="364">
        <f t="shared" si="71"/>
        <v>29789030.379999999</v>
      </c>
      <c r="F94" s="230">
        <f t="shared" si="71"/>
        <v>0</v>
      </c>
      <c r="G94" s="230">
        <f t="shared" si="71"/>
        <v>0</v>
      </c>
      <c r="H94" s="230">
        <f t="shared" si="71"/>
        <v>0</v>
      </c>
      <c r="I94" s="230">
        <f t="shared" si="71"/>
        <v>0</v>
      </c>
      <c r="J94" s="230">
        <f t="shared" si="71"/>
        <v>0</v>
      </c>
      <c r="K94" s="230">
        <f t="shared" si="71"/>
        <v>0</v>
      </c>
      <c r="L94" s="230">
        <f t="shared" si="71"/>
        <v>0</v>
      </c>
      <c r="M94" s="230">
        <f t="shared" si="71"/>
        <v>0</v>
      </c>
      <c r="N94" s="230">
        <f t="shared" si="71"/>
        <v>0</v>
      </c>
      <c r="O94" s="230">
        <f t="shared" si="71"/>
        <v>0</v>
      </c>
      <c r="P94" s="230">
        <f t="shared" si="71"/>
        <v>0</v>
      </c>
      <c r="Q94" s="230">
        <f t="shared" si="71"/>
        <v>0</v>
      </c>
      <c r="R94" s="230">
        <f t="shared" si="71"/>
        <v>0</v>
      </c>
      <c r="S94" s="230">
        <f t="shared" si="71"/>
        <v>0</v>
      </c>
      <c r="T94" s="365">
        <f t="shared" si="46"/>
        <v>302250447.62</v>
      </c>
      <c r="U94" s="225">
        <v>39498</v>
      </c>
      <c r="V94" s="372">
        <v>210914007.28</v>
      </c>
      <c r="W94" s="259">
        <v>61547409.960000001</v>
      </c>
      <c r="X94" s="259">
        <v>29789030.379999999</v>
      </c>
      <c r="Y94" s="231"/>
      <c r="Z94" s="231"/>
      <c r="AA94" s="231"/>
      <c r="AB94" s="231"/>
      <c r="AC94" s="231"/>
      <c r="AD94" s="231"/>
      <c r="AE94" s="231"/>
      <c r="AF94" s="231"/>
      <c r="AG94" s="231"/>
      <c r="AH94" s="231"/>
      <c r="AI94" s="231"/>
      <c r="AJ94" s="231"/>
      <c r="AK94" s="231"/>
      <c r="AL94" s="231"/>
      <c r="AM94" s="232"/>
      <c r="AN94" s="225">
        <v>39498</v>
      </c>
      <c r="AO94" s="233">
        <f t="shared" si="26"/>
        <v>0</v>
      </c>
      <c r="AP94" s="231">
        <f t="shared" si="27"/>
        <v>0</v>
      </c>
      <c r="AQ94" s="231">
        <f t="shared" si="28"/>
        <v>0</v>
      </c>
      <c r="AR94" s="231">
        <f t="shared" si="29"/>
        <v>0</v>
      </c>
      <c r="AS94" s="231">
        <f t="shared" si="30"/>
        <v>0</v>
      </c>
      <c r="AT94" s="231">
        <f t="shared" si="31"/>
        <v>0</v>
      </c>
      <c r="AU94" s="231">
        <f t="shared" si="32"/>
        <v>0</v>
      </c>
      <c r="AV94" s="231">
        <f t="shared" si="33"/>
        <v>0</v>
      </c>
      <c r="AW94" s="231">
        <f t="shared" si="34"/>
        <v>0</v>
      </c>
      <c r="AX94" s="231">
        <f t="shared" si="35"/>
        <v>0</v>
      </c>
      <c r="AY94" s="231">
        <f t="shared" si="36"/>
        <v>0</v>
      </c>
      <c r="AZ94" s="231">
        <f t="shared" si="37"/>
        <v>0</v>
      </c>
      <c r="BA94" s="231">
        <f t="shared" si="38"/>
        <v>0</v>
      </c>
      <c r="BB94" s="231">
        <f t="shared" si="39"/>
        <v>0</v>
      </c>
      <c r="BC94" s="231">
        <f t="shared" si="40"/>
        <v>0</v>
      </c>
      <c r="BD94" s="231">
        <f t="shared" si="41"/>
        <v>0</v>
      </c>
      <c r="BE94" s="232">
        <f t="shared" si="42"/>
        <v>0</v>
      </c>
      <c r="BF94" s="225">
        <v>39498</v>
      </c>
      <c r="BG94" s="234">
        <f t="shared" si="48"/>
        <v>0</v>
      </c>
      <c r="BH94" s="235">
        <f t="shared" si="49"/>
        <v>0</v>
      </c>
      <c r="BI94" s="235">
        <f t="shared" si="50"/>
        <v>0</v>
      </c>
      <c r="BJ94" s="235">
        <f t="shared" si="51"/>
        <v>0</v>
      </c>
      <c r="BK94" s="235">
        <f t="shared" si="52"/>
        <v>0</v>
      </c>
      <c r="BL94" s="235">
        <f t="shared" si="53"/>
        <v>0</v>
      </c>
      <c r="BM94" s="235">
        <f t="shared" si="54"/>
        <v>0</v>
      </c>
      <c r="BN94" s="235">
        <f t="shared" si="55"/>
        <v>0</v>
      </c>
      <c r="BO94" s="235">
        <f t="shared" si="56"/>
        <v>0</v>
      </c>
      <c r="BP94" s="235">
        <f t="shared" si="57"/>
        <v>0</v>
      </c>
      <c r="BQ94" s="235">
        <f t="shared" si="58"/>
        <v>0</v>
      </c>
      <c r="BR94" s="235">
        <f t="shared" si="59"/>
        <v>0</v>
      </c>
      <c r="BS94" s="235">
        <f t="shared" si="60"/>
        <v>0</v>
      </c>
      <c r="BT94" s="235">
        <f t="shared" si="61"/>
        <v>0</v>
      </c>
      <c r="BU94" s="235">
        <f t="shared" si="62"/>
        <v>0</v>
      </c>
      <c r="BV94" s="235">
        <f t="shared" si="63"/>
        <v>0</v>
      </c>
      <c r="BW94" s="236">
        <f t="shared" si="64"/>
        <v>0</v>
      </c>
    </row>
    <row r="95" spans="1:75">
      <c r="A95" s="225">
        <v>39527</v>
      </c>
      <c r="B95" s="237"/>
      <c r="C95" s="230">
        <f t="shared" ref="C95:S95" si="72">ROUND((C12-C13),2)</f>
        <v>0</v>
      </c>
      <c r="D95" s="230">
        <f t="shared" si="72"/>
        <v>0</v>
      </c>
      <c r="E95" s="230">
        <f t="shared" si="72"/>
        <v>0</v>
      </c>
      <c r="F95" s="230">
        <f t="shared" si="72"/>
        <v>0</v>
      </c>
      <c r="G95" s="230">
        <f t="shared" si="72"/>
        <v>0</v>
      </c>
      <c r="H95" s="230">
        <f t="shared" si="72"/>
        <v>0</v>
      </c>
      <c r="I95" s="230">
        <f t="shared" si="72"/>
        <v>0</v>
      </c>
      <c r="J95" s="230">
        <f t="shared" si="72"/>
        <v>0</v>
      </c>
      <c r="K95" s="230">
        <f t="shared" si="72"/>
        <v>0</v>
      </c>
      <c r="L95" s="230">
        <f t="shared" si="72"/>
        <v>0</v>
      </c>
      <c r="M95" s="230">
        <f t="shared" si="72"/>
        <v>0</v>
      </c>
      <c r="N95" s="230">
        <f t="shared" si="72"/>
        <v>0</v>
      </c>
      <c r="O95" s="230">
        <f t="shared" si="72"/>
        <v>0</v>
      </c>
      <c r="P95" s="230">
        <f t="shared" si="72"/>
        <v>0</v>
      </c>
      <c r="Q95" s="230">
        <f t="shared" si="72"/>
        <v>0</v>
      </c>
      <c r="R95" s="230">
        <f t="shared" si="72"/>
        <v>0</v>
      </c>
      <c r="S95" s="230">
        <f t="shared" si="72"/>
        <v>0</v>
      </c>
      <c r="T95" s="209">
        <f t="shared" si="46"/>
        <v>0</v>
      </c>
      <c r="U95" s="225">
        <v>39527</v>
      </c>
      <c r="V95" s="225"/>
      <c r="W95" s="231"/>
      <c r="X95" s="231"/>
      <c r="Y95" s="231"/>
      <c r="Z95" s="231"/>
      <c r="AA95" s="231"/>
      <c r="AB95" s="231"/>
      <c r="AC95" s="231"/>
      <c r="AD95" s="231"/>
      <c r="AE95" s="231"/>
      <c r="AF95" s="231"/>
      <c r="AG95" s="231"/>
      <c r="AH95" s="231"/>
      <c r="AI95" s="231"/>
      <c r="AJ95" s="231"/>
      <c r="AK95" s="231"/>
      <c r="AL95" s="231"/>
      <c r="AM95" s="232"/>
      <c r="AN95" s="225">
        <v>39527</v>
      </c>
      <c r="AO95" s="233">
        <f t="shared" si="26"/>
        <v>0</v>
      </c>
      <c r="AP95" s="231">
        <f t="shared" si="27"/>
        <v>0</v>
      </c>
      <c r="AQ95" s="231">
        <f t="shared" si="28"/>
        <v>0</v>
      </c>
      <c r="AR95" s="231">
        <f t="shared" si="29"/>
        <v>0</v>
      </c>
      <c r="AS95" s="231">
        <f t="shared" si="30"/>
        <v>0</v>
      </c>
      <c r="AT95" s="231">
        <f t="shared" si="31"/>
        <v>0</v>
      </c>
      <c r="AU95" s="231">
        <f t="shared" si="32"/>
        <v>0</v>
      </c>
      <c r="AV95" s="231">
        <f t="shared" si="33"/>
        <v>0</v>
      </c>
      <c r="AW95" s="231">
        <f t="shared" si="34"/>
        <v>0</v>
      </c>
      <c r="AX95" s="231">
        <f t="shared" si="35"/>
        <v>0</v>
      </c>
      <c r="AY95" s="231">
        <f t="shared" si="36"/>
        <v>0</v>
      </c>
      <c r="AZ95" s="231">
        <f t="shared" si="37"/>
        <v>0</v>
      </c>
      <c r="BA95" s="231">
        <f t="shared" si="38"/>
        <v>0</v>
      </c>
      <c r="BB95" s="231">
        <f t="shared" si="39"/>
        <v>0</v>
      </c>
      <c r="BC95" s="231">
        <f t="shared" si="40"/>
        <v>0</v>
      </c>
      <c r="BD95" s="231">
        <f t="shared" si="41"/>
        <v>0</v>
      </c>
      <c r="BE95" s="232">
        <f t="shared" si="42"/>
        <v>0</v>
      </c>
      <c r="BF95" s="225">
        <v>39527</v>
      </c>
      <c r="BG95" s="234">
        <f t="shared" si="48"/>
        <v>0</v>
      </c>
      <c r="BH95" s="235">
        <f t="shared" si="49"/>
        <v>0</v>
      </c>
      <c r="BI95" s="235">
        <f t="shared" si="50"/>
        <v>0</v>
      </c>
      <c r="BJ95" s="235">
        <f t="shared" si="51"/>
        <v>0</v>
      </c>
      <c r="BK95" s="235">
        <f t="shared" si="52"/>
        <v>0</v>
      </c>
      <c r="BL95" s="235">
        <f t="shared" si="53"/>
        <v>0</v>
      </c>
      <c r="BM95" s="235">
        <f t="shared" si="54"/>
        <v>0</v>
      </c>
      <c r="BN95" s="235">
        <f t="shared" si="55"/>
        <v>0</v>
      </c>
      <c r="BO95" s="235">
        <f t="shared" si="56"/>
        <v>0</v>
      </c>
      <c r="BP95" s="235">
        <f t="shared" si="57"/>
        <v>0</v>
      </c>
      <c r="BQ95" s="235">
        <f t="shared" si="58"/>
        <v>0</v>
      </c>
      <c r="BR95" s="235">
        <f t="shared" si="59"/>
        <v>0</v>
      </c>
      <c r="BS95" s="235">
        <f t="shared" si="60"/>
        <v>0</v>
      </c>
      <c r="BT95" s="235">
        <f t="shared" si="61"/>
        <v>0</v>
      </c>
      <c r="BU95" s="235">
        <f t="shared" si="62"/>
        <v>0</v>
      </c>
      <c r="BV95" s="235">
        <f t="shared" si="63"/>
        <v>0</v>
      </c>
      <c r="BW95" s="236">
        <f t="shared" si="64"/>
        <v>0</v>
      </c>
    </row>
    <row r="96" spans="1:75">
      <c r="A96" s="225">
        <v>39558</v>
      </c>
      <c r="B96" s="237"/>
      <c r="C96" s="230">
        <f t="shared" ref="C96:S96" si="73">ROUND((C13-C14),2)</f>
        <v>0</v>
      </c>
      <c r="D96" s="230">
        <f t="shared" si="73"/>
        <v>0</v>
      </c>
      <c r="E96" s="230">
        <f t="shared" si="73"/>
        <v>0</v>
      </c>
      <c r="F96" s="230">
        <f t="shared" si="73"/>
        <v>0</v>
      </c>
      <c r="G96" s="230">
        <f t="shared" si="73"/>
        <v>0</v>
      </c>
      <c r="H96" s="230">
        <f t="shared" si="73"/>
        <v>0</v>
      </c>
      <c r="I96" s="230">
        <f t="shared" si="73"/>
        <v>0</v>
      </c>
      <c r="J96" s="230">
        <f t="shared" si="73"/>
        <v>0</v>
      </c>
      <c r="K96" s="230">
        <f t="shared" si="73"/>
        <v>0</v>
      </c>
      <c r="L96" s="230">
        <f t="shared" si="73"/>
        <v>0</v>
      </c>
      <c r="M96" s="230">
        <f t="shared" si="73"/>
        <v>0</v>
      </c>
      <c r="N96" s="230">
        <f t="shared" si="73"/>
        <v>0</v>
      </c>
      <c r="O96" s="230">
        <f t="shared" si="73"/>
        <v>0</v>
      </c>
      <c r="P96" s="230">
        <f t="shared" si="73"/>
        <v>0</v>
      </c>
      <c r="Q96" s="230">
        <f t="shared" si="73"/>
        <v>0</v>
      </c>
      <c r="R96" s="230">
        <f t="shared" si="73"/>
        <v>0</v>
      </c>
      <c r="S96" s="230">
        <f t="shared" si="73"/>
        <v>0</v>
      </c>
      <c r="T96" s="209">
        <f t="shared" si="46"/>
        <v>0</v>
      </c>
      <c r="U96" s="225">
        <v>39558</v>
      </c>
      <c r="V96" s="225"/>
      <c r="W96" s="231"/>
      <c r="X96" s="231"/>
      <c r="Y96" s="231"/>
      <c r="Z96" s="231"/>
      <c r="AA96" s="231"/>
      <c r="AB96" s="231"/>
      <c r="AC96" s="231"/>
      <c r="AD96" s="231"/>
      <c r="AE96" s="231"/>
      <c r="AF96" s="231"/>
      <c r="AG96" s="231"/>
      <c r="AH96" s="231"/>
      <c r="AI96" s="231"/>
      <c r="AJ96" s="231"/>
      <c r="AK96" s="231"/>
      <c r="AL96" s="231"/>
      <c r="AM96" s="232"/>
      <c r="AN96" s="225">
        <v>39558</v>
      </c>
      <c r="AO96" s="233">
        <f t="shared" si="26"/>
        <v>0</v>
      </c>
      <c r="AP96" s="231">
        <f t="shared" si="27"/>
        <v>0</v>
      </c>
      <c r="AQ96" s="231">
        <f t="shared" si="28"/>
        <v>0</v>
      </c>
      <c r="AR96" s="231">
        <f t="shared" si="29"/>
        <v>0</v>
      </c>
      <c r="AS96" s="231">
        <f t="shared" si="30"/>
        <v>0</v>
      </c>
      <c r="AT96" s="231">
        <f t="shared" si="31"/>
        <v>0</v>
      </c>
      <c r="AU96" s="231">
        <f t="shared" si="32"/>
        <v>0</v>
      </c>
      <c r="AV96" s="231">
        <f t="shared" si="33"/>
        <v>0</v>
      </c>
      <c r="AW96" s="231">
        <f t="shared" si="34"/>
        <v>0</v>
      </c>
      <c r="AX96" s="231">
        <f t="shared" si="35"/>
        <v>0</v>
      </c>
      <c r="AY96" s="231">
        <f t="shared" si="36"/>
        <v>0</v>
      </c>
      <c r="AZ96" s="231">
        <f t="shared" si="37"/>
        <v>0</v>
      </c>
      <c r="BA96" s="231">
        <f t="shared" si="38"/>
        <v>0</v>
      </c>
      <c r="BB96" s="231">
        <f t="shared" si="39"/>
        <v>0</v>
      </c>
      <c r="BC96" s="231">
        <f t="shared" si="40"/>
        <v>0</v>
      </c>
      <c r="BD96" s="231">
        <f t="shared" si="41"/>
        <v>0</v>
      </c>
      <c r="BE96" s="232">
        <f t="shared" si="42"/>
        <v>0</v>
      </c>
      <c r="BF96" s="225">
        <v>39558</v>
      </c>
      <c r="BG96" s="234">
        <f t="shared" si="48"/>
        <v>0</v>
      </c>
      <c r="BH96" s="235">
        <f t="shared" si="49"/>
        <v>0</v>
      </c>
      <c r="BI96" s="235">
        <f t="shared" si="50"/>
        <v>0</v>
      </c>
      <c r="BJ96" s="235">
        <f t="shared" si="51"/>
        <v>0</v>
      </c>
      <c r="BK96" s="235">
        <f t="shared" si="52"/>
        <v>0</v>
      </c>
      <c r="BL96" s="235">
        <f t="shared" si="53"/>
        <v>0</v>
      </c>
      <c r="BM96" s="235">
        <f t="shared" si="54"/>
        <v>0</v>
      </c>
      <c r="BN96" s="235">
        <f t="shared" si="55"/>
        <v>0</v>
      </c>
      <c r="BO96" s="235">
        <f t="shared" si="56"/>
        <v>0</v>
      </c>
      <c r="BP96" s="235">
        <f t="shared" si="57"/>
        <v>0</v>
      </c>
      <c r="BQ96" s="235">
        <f t="shared" si="58"/>
        <v>0</v>
      </c>
      <c r="BR96" s="235">
        <f t="shared" si="59"/>
        <v>0</v>
      </c>
      <c r="BS96" s="235">
        <f t="shared" si="60"/>
        <v>0</v>
      </c>
      <c r="BT96" s="235">
        <f t="shared" si="61"/>
        <v>0</v>
      </c>
      <c r="BU96" s="235">
        <f t="shared" si="62"/>
        <v>0</v>
      </c>
      <c r="BV96" s="235">
        <f t="shared" si="63"/>
        <v>0</v>
      </c>
      <c r="BW96" s="236">
        <f t="shared" si="64"/>
        <v>0</v>
      </c>
    </row>
    <row r="97" spans="1:75">
      <c r="A97" s="225">
        <v>39588</v>
      </c>
      <c r="B97" s="237"/>
      <c r="C97" s="230">
        <f t="shared" ref="C97:S97" si="74">ROUND((C14-C15),2)</f>
        <v>199470152.61000001</v>
      </c>
      <c r="D97" s="230">
        <f t="shared" si="74"/>
        <v>58207946.520000003</v>
      </c>
      <c r="E97" s="230">
        <f t="shared" si="74"/>
        <v>28172725.52</v>
      </c>
      <c r="F97" s="230">
        <f t="shared" si="74"/>
        <v>0</v>
      </c>
      <c r="G97" s="230">
        <f t="shared" si="74"/>
        <v>0</v>
      </c>
      <c r="H97" s="230">
        <f t="shared" si="74"/>
        <v>0</v>
      </c>
      <c r="I97" s="230">
        <f t="shared" si="74"/>
        <v>0</v>
      </c>
      <c r="J97" s="230">
        <f t="shared" si="74"/>
        <v>0</v>
      </c>
      <c r="K97" s="230">
        <f t="shared" si="74"/>
        <v>0</v>
      </c>
      <c r="L97" s="230">
        <f t="shared" si="74"/>
        <v>0</v>
      </c>
      <c r="M97" s="230">
        <f t="shared" si="74"/>
        <v>0</v>
      </c>
      <c r="N97" s="230">
        <f t="shared" si="74"/>
        <v>0</v>
      </c>
      <c r="O97" s="230">
        <f t="shared" si="74"/>
        <v>0</v>
      </c>
      <c r="P97" s="230">
        <f t="shared" si="74"/>
        <v>0</v>
      </c>
      <c r="Q97" s="230">
        <f t="shared" si="74"/>
        <v>0</v>
      </c>
      <c r="R97" s="230">
        <f t="shared" si="74"/>
        <v>0</v>
      </c>
      <c r="S97" s="230">
        <f t="shared" si="74"/>
        <v>0</v>
      </c>
      <c r="T97" s="209">
        <f t="shared" si="46"/>
        <v>285850824.65000004</v>
      </c>
      <c r="U97" s="225">
        <v>39588</v>
      </c>
      <c r="V97" s="372">
        <v>199470152.61000001</v>
      </c>
      <c r="W97" s="259">
        <v>58207946.520000003</v>
      </c>
      <c r="X97" s="259">
        <v>28172725.52</v>
      </c>
      <c r="Y97" s="231"/>
      <c r="Z97" s="231"/>
      <c r="AA97" s="231"/>
      <c r="AB97" s="231"/>
      <c r="AC97" s="231"/>
      <c r="AD97" s="231"/>
      <c r="AE97" s="231"/>
      <c r="AF97" s="231"/>
      <c r="AG97" s="231"/>
      <c r="AH97" s="231"/>
      <c r="AI97" s="231"/>
      <c r="AJ97" s="231"/>
      <c r="AK97" s="231"/>
      <c r="AL97" s="231"/>
      <c r="AM97" s="232"/>
      <c r="AN97" s="225">
        <v>39588</v>
      </c>
      <c r="AO97" s="233">
        <f t="shared" si="26"/>
        <v>0</v>
      </c>
      <c r="AP97" s="231">
        <f t="shared" si="27"/>
        <v>0</v>
      </c>
      <c r="AQ97" s="231">
        <f t="shared" si="28"/>
        <v>0</v>
      </c>
      <c r="AR97" s="231">
        <f t="shared" si="29"/>
        <v>0</v>
      </c>
      <c r="AS97" s="231">
        <f t="shared" si="30"/>
        <v>0</v>
      </c>
      <c r="AT97" s="231">
        <f t="shared" si="31"/>
        <v>0</v>
      </c>
      <c r="AU97" s="231">
        <f t="shared" si="32"/>
        <v>0</v>
      </c>
      <c r="AV97" s="231">
        <f t="shared" si="33"/>
        <v>0</v>
      </c>
      <c r="AW97" s="231">
        <f t="shared" si="34"/>
        <v>0</v>
      </c>
      <c r="AX97" s="231">
        <f t="shared" si="35"/>
        <v>0</v>
      </c>
      <c r="AY97" s="231">
        <f t="shared" si="36"/>
        <v>0</v>
      </c>
      <c r="AZ97" s="231">
        <f t="shared" si="37"/>
        <v>0</v>
      </c>
      <c r="BA97" s="231">
        <f t="shared" si="38"/>
        <v>0</v>
      </c>
      <c r="BB97" s="231">
        <f t="shared" si="39"/>
        <v>0</v>
      </c>
      <c r="BC97" s="231">
        <f t="shared" si="40"/>
        <v>0</v>
      </c>
      <c r="BD97" s="231">
        <f t="shared" si="41"/>
        <v>0</v>
      </c>
      <c r="BE97" s="232">
        <f t="shared" si="42"/>
        <v>0</v>
      </c>
      <c r="BF97" s="225">
        <v>39588</v>
      </c>
      <c r="BG97" s="234">
        <f t="shared" si="48"/>
        <v>0</v>
      </c>
      <c r="BH97" s="235">
        <f t="shared" si="49"/>
        <v>0</v>
      </c>
      <c r="BI97" s="235">
        <f t="shared" si="50"/>
        <v>0</v>
      </c>
      <c r="BJ97" s="235">
        <f t="shared" si="51"/>
        <v>0</v>
      </c>
      <c r="BK97" s="235">
        <f t="shared" si="52"/>
        <v>0</v>
      </c>
      <c r="BL97" s="235">
        <f t="shared" si="53"/>
        <v>0</v>
      </c>
      <c r="BM97" s="235">
        <f t="shared" si="54"/>
        <v>0</v>
      </c>
      <c r="BN97" s="235">
        <f t="shared" si="55"/>
        <v>0</v>
      </c>
      <c r="BO97" s="235">
        <f t="shared" si="56"/>
        <v>0</v>
      </c>
      <c r="BP97" s="235">
        <f t="shared" si="57"/>
        <v>0</v>
      </c>
      <c r="BQ97" s="235">
        <f t="shared" si="58"/>
        <v>0</v>
      </c>
      <c r="BR97" s="235">
        <f t="shared" si="59"/>
        <v>0</v>
      </c>
      <c r="BS97" s="235">
        <f t="shared" si="60"/>
        <v>0</v>
      </c>
      <c r="BT97" s="235">
        <f t="shared" si="61"/>
        <v>0</v>
      </c>
      <c r="BU97" s="235">
        <f t="shared" si="62"/>
        <v>0</v>
      </c>
      <c r="BV97" s="235">
        <f t="shared" si="63"/>
        <v>0</v>
      </c>
      <c r="BW97" s="236">
        <f t="shared" si="64"/>
        <v>0</v>
      </c>
    </row>
    <row r="98" spans="1:75">
      <c r="A98" s="225">
        <v>39619</v>
      </c>
      <c r="B98" s="237"/>
      <c r="C98" s="230">
        <f t="shared" ref="C98:S98" si="75">ROUND((C15-C16),2)</f>
        <v>0</v>
      </c>
      <c r="D98" s="230">
        <f t="shared" si="75"/>
        <v>0</v>
      </c>
      <c r="E98" s="230">
        <f t="shared" si="75"/>
        <v>0</v>
      </c>
      <c r="F98" s="230">
        <f t="shared" si="75"/>
        <v>0</v>
      </c>
      <c r="G98" s="230">
        <f t="shared" si="75"/>
        <v>0</v>
      </c>
      <c r="H98" s="230">
        <f t="shared" si="75"/>
        <v>0</v>
      </c>
      <c r="I98" s="230">
        <f t="shared" si="75"/>
        <v>0</v>
      </c>
      <c r="J98" s="230">
        <f t="shared" si="75"/>
        <v>0</v>
      </c>
      <c r="K98" s="230">
        <f t="shared" si="75"/>
        <v>0</v>
      </c>
      <c r="L98" s="230">
        <f t="shared" si="75"/>
        <v>0</v>
      </c>
      <c r="M98" s="230">
        <f t="shared" si="75"/>
        <v>0</v>
      </c>
      <c r="N98" s="230">
        <f t="shared" si="75"/>
        <v>0</v>
      </c>
      <c r="O98" s="230">
        <f t="shared" si="75"/>
        <v>0</v>
      </c>
      <c r="P98" s="230">
        <f t="shared" si="75"/>
        <v>0</v>
      </c>
      <c r="Q98" s="230">
        <f t="shared" si="75"/>
        <v>0</v>
      </c>
      <c r="R98" s="230">
        <f t="shared" si="75"/>
        <v>0</v>
      </c>
      <c r="S98" s="230">
        <f t="shared" si="75"/>
        <v>0</v>
      </c>
      <c r="T98" s="209">
        <f t="shared" si="46"/>
        <v>0</v>
      </c>
      <c r="U98" s="225">
        <v>39619</v>
      </c>
      <c r="V98" s="225"/>
      <c r="W98" s="231"/>
      <c r="X98" s="231"/>
      <c r="Y98" s="231"/>
      <c r="Z98" s="231"/>
      <c r="AA98" s="231"/>
      <c r="AB98" s="231"/>
      <c r="AC98" s="231"/>
      <c r="AD98" s="231"/>
      <c r="AE98" s="231"/>
      <c r="AF98" s="231"/>
      <c r="AG98" s="231"/>
      <c r="AH98" s="231"/>
      <c r="AI98" s="231"/>
      <c r="AJ98" s="231"/>
      <c r="AK98" s="231"/>
      <c r="AL98" s="231"/>
      <c r="AM98" s="232"/>
      <c r="AN98" s="225">
        <v>39619</v>
      </c>
      <c r="AO98" s="233">
        <f t="shared" si="26"/>
        <v>0</v>
      </c>
      <c r="AP98" s="231">
        <f t="shared" si="27"/>
        <v>0</v>
      </c>
      <c r="AQ98" s="231">
        <f t="shared" si="28"/>
        <v>0</v>
      </c>
      <c r="AR98" s="231">
        <f t="shared" si="29"/>
        <v>0</v>
      </c>
      <c r="AS98" s="231">
        <f t="shared" si="30"/>
        <v>0</v>
      </c>
      <c r="AT98" s="231">
        <f t="shared" si="31"/>
        <v>0</v>
      </c>
      <c r="AU98" s="231">
        <f t="shared" si="32"/>
        <v>0</v>
      </c>
      <c r="AV98" s="231">
        <f t="shared" si="33"/>
        <v>0</v>
      </c>
      <c r="AW98" s="231">
        <f t="shared" si="34"/>
        <v>0</v>
      </c>
      <c r="AX98" s="231">
        <f t="shared" si="35"/>
        <v>0</v>
      </c>
      <c r="AY98" s="231">
        <f t="shared" si="36"/>
        <v>0</v>
      </c>
      <c r="AZ98" s="231">
        <f t="shared" si="37"/>
        <v>0</v>
      </c>
      <c r="BA98" s="231">
        <f t="shared" si="38"/>
        <v>0</v>
      </c>
      <c r="BB98" s="231">
        <f t="shared" si="39"/>
        <v>0</v>
      </c>
      <c r="BC98" s="231">
        <f t="shared" si="40"/>
        <v>0</v>
      </c>
      <c r="BD98" s="231">
        <f t="shared" si="41"/>
        <v>0</v>
      </c>
      <c r="BE98" s="232">
        <f t="shared" si="42"/>
        <v>0</v>
      </c>
      <c r="BF98" s="225">
        <v>39619</v>
      </c>
      <c r="BG98" s="234">
        <f t="shared" si="48"/>
        <v>0</v>
      </c>
      <c r="BH98" s="235">
        <f t="shared" si="49"/>
        <v>0</v>
      </c>
      <c r="BI98" s="235">
        <f t="shared" si="50"/>
        <v>0</v>
      </c>
      <c r="BJ98" s="235">
        <f t="shared" si="51"/>
        <v>0</v>
      </c>
      <c r="BK98" s="235">
        <f t="shared" si="52"/>
        <v>0</v>
      </c>
      <c r="BL98" s="235">
        <f t="shared" si="53"/>
        <v>0</v>
      </c>
      <c r="BM98" s="235">
        <f t="shared" si="54"/>
        <v>0</v>
      </c>
      <c r="BN98" s="235">
        <f t="shared" si="55"/>
        <v>0</v>
      </c>
      <c r="BO98" s="235">
        <f t="shared" si="56"/>
        <v>0</v>
      </c>
      <c r="BP98" s="235">
        <f t="shared" si="57"/>
        <v>0</v>
      </c>
      <c r="BQ98" s="235">
        <f t="shared" si="58"/>
        <v>0</v>
      </c>
      <c r="BR98" s="235">
        <f t="shared" si="59"/>
        <v>0</v>
      </c>
      <c r="BS98" s="235">
        <f t="shared" si="60"/>
        <v>0</v>
      </c>
      <c r="BT98" s="235">
        <f t="shared" si="61"/>
        <v>0</v>
      </c>
      <c r="BU98" s="235">
        <f t="shared" si="62"/>
        <v>0</v>
      </c>
      <c r="BV98" s="235">
        <f t="shared" si="63"/>
        <v>0</v>
      </c>
      <c r="BW98" s="236">
        <f t="shared" si="64"/>
        <v>0</v>
      </c>
    </row>
    <row r="99" spans="1:75">
      <c r="A99" s="225">
        <v>39649</v>
      </c>
      <c r="B99" s="237"/>
      <c r="C99" s="230">
        <f t="shared" ref="C99:S99" si="76">ROUND((C16-C17),2)</f>
        <v>0</v>
      </c>
      <c r="D99" s="230">
        <f t="shared" si="76"/>
        <v>0</v>
      </c>
      <c r="E99" s="230">
        <f t="shared" si="76"/>
        <v>0</v>
      </c>
      <c r="F99" s="230">
        <f t="shared" si="76"/>
        <v>0</v>
      </c>
      <c r="G99" s="230">
        <f t="shared" si="76"/>
        <v>0</v>
      </c>
      <c r="H99" s="230">
        <f t="shared" si="76"/>
        <v>0</v>
      </c>
      <c r="I99" s="230">
        <f t="shared" si="76"/>
        <v>0</v>
      </c>
      <c r="J99" s="230">
        <f t="shared" si="76"/>
        <v>0</v>
      </c>
      <c r="K99" s="230">
        <f t="shared" si="76"/>
        <v>0</v>
      </c>
      <c r="L99" s="230">
        <f t="shared" si="76"/>
        <v>0</v>
      </c>
      <c r="M99" s="230">
        <f t="shared" si="76"/>
        <v>0</v>
      </c>
      <c r="N99" s="230">
        <f t="shared" si="76"/>
        <v>0</v>
      </c>
      <c r="O99" s="230">
        <f t="shared" si="76"/>
        <v>0</v>
      </c>
      <c r="P99" s="230">
        <f t="shared" si="76"/>
        <v>0</v>
      </c>
      <c r="Q99" s="230">
        <f t="shared" si="76"/>
        <v>0</v>
      </c>
      <c r="R99" s="230">
        <f t="shared" si="76"/>
        <v>0</v>
      </c>
      <c r="S99" s="230">
        <f t="shared" si="76"/>
        <v>0</v>
      </c>
      <c r="T99" s="209">
        <f t="shared" si="46"/>
        <v>0</v>
      </c>
      <c r="U99" s="225">
        <v>39649</v>
      </c>
      <c r="V99" s="225"/>
      <c r="W99" s="231"/>
      <c r="X99" s="231"/>
      <c r="Y99" s="231"/>
      <c r="Z99" s="231"/>
      <c r="AA99" s="231"/>
      <c r="AB99" s="231"/>
      <c r="AC99" s="231"/>
      <c r="AD99" s="231"/>
      <c r="AE99" s="231"/>
      <c r="AF99" s="231"/>
      <c r="AG99" s="231"/>
      <c r="AH99" s="231"/>
      <c r="AI99" s="231"/>
      <c r="AJ99" s="231"/>
      <c r="AK99" s="231"/>
      <c r="AL99" s="231"/>
      <c r="AM99" s="232"/>
      <c r="AN99" s="225">
        <v>39649</v>
      </c>
      <c r="AO99" s="233">
        <f t="shared" si="26"/>
        <v>0</v>
      </c>
      <c r="AP99" s="231">
        <f t="shared" si="27"/>
        <v>0</v>
      </c>
      <c r="AQ99" s="231">
        <f t="shared" si="28"/>
        <v>0</v>
      </c>
      <c r="AR99" s="231">
        <f t="shared" si="29"/>
        <v>0</v>
      </c>
      <c r="AS99" s="231">
        <f t="shared" si="30"/>
        <v>0</v>
      </c>
      <c r="AT99" s="231">
        <f t="shared" si="31"/>
        <v>0</v>
      </c>
      <c r="AU99" s="231">
        <f t="shared" si="32"/>
        <v>0</v>
      </c>
      <c r="AV99" s="231">
        <f t="shared" si="33"/>
        <v>0</v>
      </c>
      <c r="AW99" s="231">
        <f t="shared" si="34"/>
        <v>0</v>
      </c>
      <c r="AX99" s="231">
        <f t="shared" si="35"/>
        <v>0</v>
      </c>
      <c r="AY99" s="231">
        <f t="shared" si="36"/>
        <v>0</v>
      </c>
      <c r="AZ99" s="231">
        <f t="shared" si="37"/>
        <v>0</v>
      </c>
      <c r="BA99" s="231">
        <f t="shared" si="38"/>
        <v>0</v>
      </c>
      <c r="BB99" s="231">
        <f t="shared" si="39"/>
        <v>0</v>
      </c>
      <c r="BC99" s="231">
        <f t="shared" si="40"/>
        <v>0</v>
      </c>
      <c r="BD99" s="231">
        <f t="shared" si="41"/>
        <v>0</v>
      </c>
      <c r="BE99" s="232">
        <f t="shared" si="42"/>
        <v>0</v>
      </c>
      <c r="BF99" s="225">
        <v>39649</v>
      </c>
      <c r="BG99" s="234">
        <f t="shared" si="48"/>
        <v>0</v>
      </c>
      <c r="BH99" s="235">
        <f t="shared" si="49"/>
        <v>0</v>
      </c>
      <c r="BI99" s="235">
        <f t="shared" si="50"/>
        <v>0</v>
      </c>
      <c r="BJ99" s="235">
        <f t="shared" si="51"/>
        <v>0</v>
      </c>
      <c r="BK99" s="235">
        <f t="shared" si="52"/>
        <v>0</v>
      </c>
      <c r="BL99" s="235">
        <f t="shared" si="53"/>
        <v>0</v>
      </c>
      <c r="BM99" s="235">
        <f t="shared" si="54"/>
        <v>0</v>
      </c>
      <c r="BN99" s="235">
        <f t="shared" si="55"/>
        <v>0</v>
      </c>
      <c r="BO99" s="235">
        <f t="shared" si="56"/>
        <v>0</v>
      </c>
      <c r="BP99" s="235">
        <f t="shared" si="57"/>
        <v>0</v>
      </c>
      <c r="BQ99" s="235">
        <f t="shared" si="58"/>
        <v>0</v>
      </c>
      <c r="BR99" s="235">
        <f t="shared" si="59"/>
        <v>0</v>
      </c>
      <c r="BS99" s="235">
        <f t="shared" si="60"/>
        <v>0</v>
      </c>
      <c r="BT99" s="235">
        <f t="shared" si="61"/>
        <v>0</v>
      </c>
      <c r="BU99" s="235">
        <f t="shared" si="62"/>
        <v>0</v>
      </c>
      <c r="BV99" s="235">
        <f t="shared" si="63"/>
        <v>0</v>
      </c>
      <c r="BW99" s="236">
        <f t="shared" si="64"/>
        <v>0</v>
      </c>
    </row>
    <row r="100" spans="1:75">
      <c r="A100" s="225">
        <v>39680</v>
      </c>
      <c r="B100" s="237"/>
      <c r="C100" s="230">
        <f t="shared" ref="C100:S100" si="77">ROUND((C17-C18),2)</f>
        <v>188647223.06999999</v>
      </c>
      <c r="D100" s="230">
        <f t="shared" si="77"/>
        <v>55049677</v>
      </c>
      <c r="E100" s="230">
        <f t="shared" si="77"/>
        <v>26644118.760000002</v>
      </c>
      <c r="F100" s="230">
        <f t="shared" si="77"/>
        <v>0</v>
      </c>
      <c r="G100" s="230">
        <f t="shared" si="77"/>
        <v>0</v>
      </c>
      <c r="H100" s="230">
        <f t="shared" si="77"/>
        <v>0</v>
      </c>
      <c r="I100" s="230">
        <f t="shared" si="77"/>
        <v>0</v>
      </c>
      <c r="J100" s="230">
        <f t="shared" si="77"/>
        <v>0</v>
      </c>
      <c r="K100" s="230">
        <f t="shared" si="77"/>
        <v>0</v>
      </c>
      <c r="L100" s="230">
        <f t="shared" si="77"/>
        <v>0</v>
      </c>
      <c r="M100" s="230">
        <f t="shared" si="77"/>
        <v>0</v>
      </c>
      <c r="N100" s="230">
        <f t="shared" si="77"/>
        <v>0</v>
      </c>
      <c r="O100" s="230">
        <f t="shared" si="77"/>
        <v>0</v>
      </c>
      <c r="P100" s="230">
        <f t="shared" si="77"/>
        <v>0</v>
      </c>
      <c r="Q100" s="230">
        <f t="shared" si="77"/>
        <v>0</v>
      </c>
      <c r="R100" s="230">
        <f t="shared" si="77"/>
        <v>0</v>
      </c>
      <c r="S100" s="230">
        <f t="shared" si="77"/>
        <v>0</v>
      </c>
      <c r="T100" s="365">
        <f t="shared" si="46"/>
        <v>270341018.82999998</v>
      </c>
      <c r="U100" s="225">
        <v>39680</v>
      </c>
      <c r="V100" s="596">
        <v>188647223.06999999</v>
      </c>
      <c r="W100" s="401">
        <v>55049677</v>
      </c>
      <c r="X100" s="231">
        <v>26644118.760000002</v>
      </c>
      <c r="Y100" s="231"/>
      <c r="Z100" s="231"/>
      <c r="AA100" s="231"/>
      <c r="AB100" s="231"/>
      <c r="AC100" s="231"/>
      <c r="AD100" s="231"/>
      <c r="AE100" s="231"/>
      <c r="AF100" s="231"/>
      <c r="AG100" s="231"/>
      <c r="AH100" s="231"/>
      <c r="AI100" s="231"/>
      <c r="AJ100" s="231"/>
      <c r="AK100" s="231"/>
      <c r="AL100" s="231"/>
      <c r="AM100" s="232"/>
      <c r="AN100" s="225">
        <v>39680</v>
      </c>
      <c r="AO100" s="233">
        <f t="shared" si="26"/>
        <v>0</v>
      </c>
      <c r="AP100" s="231">
        <f t="shared" si="27"/>
        <v>0</v>
      </c>
      <c r="AQ100" s="231">
        <f t="shared" si="28"/>
        <v>0</v>
      </c>
      <c r="AR100" s="231">
        <f t="shared" si="29"/>
        <v>0</v>
      </c>
      <c r="AS100" s="231">
        <f t="shared" si="30"/>
        <v>0</v>
      </c>
      <c r="AT100" s="231">
        <f t="shared" si="31"/>
        <v>0</v>
      </c>
      <c r="AU100" s="231">
        <f t="shared" si="32"/>
        <v>0</v>
      </c>
      <c r="AV100" s="231">
        <f t="shared" si="33"/>
        <v>0</v>
      </c>
      <c r="AW100" s="231">
        <f t="shared" si="34"/>
        <v>0</v>
      </c>
      <c r="AX100" s="231">
        <f t="shared" si="35"/>
        <v>0</v>
      </c>
      <c r="AY100" s="231">
        <f t="shared" si="36"/>
        <v>0</v>
      </c>
      <c r="AZ100" s="231">
        <f t="shared" si="37"/>
        <v>0</v>
      </c>
      <c r="BA100" s="231">
        <f t="shared" si="38"/>
        <v>0</v>
      </c>
      <c r="BB100" s="231">
        <f t="shared" si="39"/>
        <v>0</v>
      </c>
      <c r="BC100" s="231">
        <f t="shared" si="40"/>
        <v>0</v>
      </c>
      <c r="BD100" s="231">
        <f t="shared" si="41"/>
        <v>0</v>
      </c>
      <c r="BE100" s="232">
        <f t="shared" si="42"/>
        <v>0</v>
      </c>
      <c r="BF100" s="225">
        <v>39680</v>
      </c>
      <c r="BG100" s="234">
        <f t="shared" si="48"/>
        <v>0</v>
      </c>
      <c r="BH100" s="235">
        <f t="shared" si="49"/>
        <v>0</v>
      </c>
      <c r="BI100" s="235">
        <f t="shared" si="50"/>
        <v>0</v>
      </c>
      <c r="BJ100" s="235">
        <f t="shared" si="51"/>
        <v>0</v>
      </c>
      <c r="BK100" s="235">
        <f t="shared" si="52"/>
        <v>0</v>
      </c>
      <c r="BL100" s="235">
        <f t="shared" si="53"/>
        <v>0</v>
      </c>
      <c r="BM100" s="235">
        <f t="shared" si="54"/>
        <v>0</v>
      </c>
      <c r="BN100" s="235">
        <f t="shared" si="55"/>
        <v>0</v>
      </c>
      <c r="BO100" s="235">
        <f t="shared" si="56"/>
        <v>0</v>
      </c>
      <c r="BP100" s="235">
        <f t="shared" si="57"/>
        <v>0</v>
      </c>
      <c r="BQ100" s="235">
        <f t="shared" si="58"/>
        <v>0</v>
      </c>
      <c r="BR100" s="235">
        <f t="shared" si="59"/>
        <v>0</v>
      </c>
      <c r="BS100" s="235">
        <f t="shared" si="60"/>
        <v>0</v>
      </c>
      <c r="BT100" s="235">
        <f t="shared" si="61"/>
        <v>0</v>
      </c>
      <c r="BU100" s="235">
        <f t="shared" si="62"/>
        <v>0</v>
      </c>
      <c r="BV100" s="235">
        <f t="shared" si="63"/>
        <v>0</v>
      </c>
      <c r="BW100" s="236">
        <f t="shared" si="64"/>
        <v>0</v>
      </c>
    </row>
    <row r="101" spans="1:75">
      <c r="A101" s="225">
        <v>39711</v>
      </c>
      <c r="B101" s="237"/>
      <c r="C101" s="230">
        <f t="shared" ref="C101:S101" si="78">ROUND((C18-C19),2)</f>
        <v>0</v>
      </c>
      <c r="D101" s="230">
        <f t="shared" si="78"/>
        <v>0</v>
      </c>
      <c r="E101" s="230">
        <f t="shared" si="78"/>
        <v>0</v>
      </c>
      <c r="F101" s="230">
        <f t="shared" si="78"/>
        <v>0</v>
      </c>
      <c r="G101" s="230">
        <f t="shared" si="78"/>
        <v>0</v>
      </c>
      <c r="H101" s="230">
        <f t="shared" si="78"/>
        <v>0</v>
      </c>
      <c r="I101" s="230">
        <f t="shared" si="78"/>
        <v>0</v>
      </c>
      <c r="J101" s="230">
        <f t="shared" si="78"/>
        <v>0</v>
      </c>
      <c r="K101" s="230">
        <f t="shared" si="78"/>
        <v>0</v>
      </c>
      <c r="L101" s="230">
        <f t="shared" si="78"/>
        <v>0</v>
      </c>
      <c r="M101" s="230">
        <f t="shared" si="78"/>
        <v>0</v>
      </c>
      <c r="N101" s="230">
        <f t="shared" si="78"/>
        <v>0</v>
      </c>
      <c r="O101" s="230">
        <f t="shared" si="78"/>
        <v>0</v>
      </c>
      <c r="P101" s="230">
        <f t="shared" si="78"/>
        <v>0</v>
      </c>
      <c r="Q101" s="230">
        <f t="shared" si="78"/>
        <v>0</v>
      </c>
      <c r="R101" s="230">
        <f t="shared" si="78"/>
        <v>0</v>
      </c>
      <c r="S101" s="230">
        <f t="shared" si="78"/>
        <v>0</v>
      </c>
      <c r="T101" s="209">
        <f t="shared" si="46"/>
        <v>0</v>
      </c>
      <c r="U101" s="225">
        <v>39711</v>
      </c>
      <c r="V101" s="225"/>
      <c r="W101" s="231"/>
      <c r="X101" s="231"/>
      <c r="Y101" s="231"/>
      <c r="Z101" s="231"/>
      <c r="AA101" s="231"/>
      <c r="AB101" s="231"/>
      <c r="AC101" s="231"/>
      <c r="AD101" s="231"/>
      <c r="AE101" s="231"/>
      <c r="AF101" s="231"/>
      <c r="AG101" s="231"/>
      <c r="AH101" s="231"/>
      <c r="AI101" s="231"/>
      <c r="AJ101" s="231"/>
      <c r="AK101" s="231"/>
      <c r="AL101" s="231"/>
      <c r="AM101" s="232"/>
      <c r="AN101" s="225">
        <v>39711</v>
      </c>
      <c r="AO101" s="233">
        <f t="shared" si="26"/>
        <v>0</v>
      </c>
      <c r="AP101" s="231">
        <f t="shared" si="27"/>
        <v>0</v>
      </c>
      <c r="AQ101" s="231">
        <f t="shared" si="28"/>
        <v>0</v>
      </c>
      <c r="AR101" s="231">
        <f t="shared" si="29"/>
        <v>0</v>
      </c>
      <c r="AS101" s="231">
        <f t="shared" si="30"/>
        <v>0</v>
      </c>
      <c r="AT101" s="231">
        <f t="shared" si="31"/>
        <v>0</v>
      </c>
      <c r="AU101" s="231">
        <f t="shared" si="32"/>
        <v>0</v>
      </c>
      <c r="AV101" s="231">
        <f t="shared" si="33"/>
        <v>0</v>
      </c>
      <c r="AW101" s="231">
        <f t="shared" si="34"/>
        <v>0</v>
      </c>
      <c r="AX101" s="231">
        <f t="shared" si="35"/>
        <v>0</v>
      </c>
      <c r="AY101" s="231">
        <f t="shared" si="36"/>
        <v>0</v>
      </c>
      <c r="AZ101" s="231">
        <f t="shared" si="37"/>
        <v>0</v>
      </c>
      <c r="BA101" s="231">
        <f t="shared" si="38"/>
        <v>0</v>
      </c>
      <c r="BB101" s="231">
        <f t="shared" si="39"/>
        <v>0</v>
      </c>
      <c r="BC101" s="231">
        <f t="shared" si="40"/>
        <v>0</v>
      </c>
      <c r="BD101" s="231">
        <f t="shared" si="41"/>
        <v>0</v>
      </c>
      <c r="BE101" s="232">
        <f t="shared" si="42"/>
        <v>0</v>
      </c>
      <c r="BF101" s="225">
        <v>39711</v>
      </c>
      <c r="BG101" s="234">
        <f t="shared" si="48"/>
        <v>0</v>
      </c>
      <c r="BH101" s="235">
        <f t="shared" si="49"/>
        <v>0</v>
      </c>
      <c r="BI101" s="235">
        <f t="shared" si="50"/>
        <v>0</v>
      </c>
      <c r="BJ101" s="235">
        <f t="shared" si="51"/>
        <v>0</v>
      </c>
      <c r="BK101" s="235">
        <f t="shared" si="52"/>
        <v>0</v>
      </c>
      <c r="BL101" s="235">
        <f t="shared" si="53"/>
        <v>0</v>
      </c>
      <c r="BM101" s="235">
        <f t="shared" si="54"/>
        <v>0</v>
      </c>
      <c r="BN101" s="235">
        <f t="shared" si="55"/>
        <v>0</v>
      </c>
      <c r="BO101" s="235">
        <f t="shared" si="56"/>
        <v>0</v>
      </c>
      <c r="BP101" s="235">
        <f t="shared" si="57"/>
        <v>0</v>
      </c>
      <c r="BQ101" s="235">
        <f t="shared" si="58"/>
        <v>0</v>
      </c>
      <c r="BR101" s="235">
        <f t="shared" si="59"/>
        <v>0</v>
      </c>
      <c r="BS101" s="235">
        <f t="shared" si="60"/>
        <v>0</v>
      </c>
      <c r="BT101" s="235">
        <f t="shared" si="61"/>
        <v>0</v>
      </c>
      <c r="BU101" s="235">
        <f t="shared" si="62"/>
        <v>0</v>
      </c>
      <c r="BV101" s="235">
        <f t="shared" si="63"/>
        <v>0</v>
      </c>
      <c r="BW101" s="236">
        <f t="shared" si="64"/>
        <v>0</v>
      </c>
    </row>
    <row r="102" spans="1:75">
      <c r="A102" s="225">
        <v>39741</v>
      </c>
      <c r="B102" s="237"/>
      <c r="C102" s="230">
        <f t="shared" ref="C102:S102" si="79">ROUND((C19-C20),2)</f>
        <v>0</v>
      </c>
      <c r="D102" s="230">
        <f t="shared" si="79"/>
        <v>0</v>
      </c>
      <c r="E102" s="230">
        <f t="shared" si="79"/>
        <v>0</v>
      </c>
      <c r="F102" s="230">
        <f t="shared" si="79"/>
        <v>0</v>
      </c>
      <c r="G102" s="230">
        <f t="shared" si="79"/>
        <v>0</v>
      </c>
      <c r="H102" s="230">
        <f t="shared" si="79"/>
        <v>0</v>
      </c>
      <c r="I102" s="230">
        <f t="shared" si="79"/>
        <v>0</v>
      </c>
      <c r="J102" s="230">
        <f t="shared" si="79"/>
        <v>0</v>
      </c>
      <c r="K102" s="230">
        <f t="shared" si="79"/>
        <v>0</v>
      </c>
      <c r="L102" s="230">
        <f t="shared" si="79"/>
        <v>0</v>
      </c>
      <c r="M102" s="230">
        <f t="shared" si="79"/>
        <v>0</v>
      </c>
      <c r="N102" s="230">
        <f t="shared" si="79"/>
        <v>0</v>
      </c>
      <c r="O102" s="230">
        <f t="shared" si="79"/>
        <v>0</v>
      </c>
      <c r="P102" s="230">
        <f t="shared" si="79"/>
        <v>0</v>
      </c>
      <c r="Q102" s="230">
        <f t="shared" si="79"/>
        <v>0</v>
      </c>
      <c r="R102" s="230">
        <f t="shared" si="79"/>
        <v>0</v>
      </c>
      <c r="S102" s="230">
        <f t="shared" si="79"/>
        <v>0</v>
      </c>
      <c r="T102" s="209">
        <f t="shared" si="46"/>
        <v>0</v>
      </c>
      <c r="U102" s="225">
        <v>39741</v>
      </c>
      <c r="V102" s="225"/>
      <c r="W102" s="231"/>
      <c r="X102" s="231"/>
      <c r="Y102" s="231"/>
      <c r="Z102" s="231"/>
      <c r="AA102" s="231"/>
      <c r="AB102" s="231"/>
      <c r="AC102" s="231"/>
      <c r="AD102" s="231"/>
      <c r="AE102" s="231"/>
      <c r="AF102" s="231"/>
      <c r="AG102" s="231"/>
      <c r="AH102" s="231"/>
      <c r="AI102" s="231"/>
      <c r="AJ102" s="231"/>
      <c r="AK102" s="231"/>
      <c r="AL102" s="231"/>
      <c r="AM102" s="232"/>
      <c r="AN102" s="225">
        <v>39741</v>
      </c>
      <c r="AO102" s="233">
        <f t="shared" si="26"/>
        <v>0</v>
      </c>
      <c r="AP102" s="231">
        <f t="shared" si="27"/>
        <v>0</v>
      </c>
      <c r="AQ102" s="231">
        <f t="shared" si="28"/>
        <v>0</v>
      </c>
      <c r="AR102" s="231">
        <f t="shared" si="29"/>
        <v>0</v>
      </c>
      <c r="AS102" s="231">
        <f t="shared" si="30"/>
        <v>0</v>
      </c>
      <c r="AT102" s="231">
        <f t="shared" si="31"/>
        <v>0</v>
      </c>
      <c r="AU102" s="231">
        <f t="shared" si="32"/>
        <v>0</v>
      </c>
      <c r="AV102" s="231">
        <f t="shared" si="33"/>
        <v>0</v>
      </c>
      <c r="AW102" s="231">
        <f t="shared" si="34"/>
        <v>0</v>
      </c>
      <c r="AX102" s="231">
        <f t="shared" si="35"/>
        <v>0</v>
      </c>
      <c r="AY102" s="231">
        <f t="shared" si="36"/>
        <v>0</v>
      </c>
      <c r="AZ102" s="231">
        <f t="shared" si="37"/>
        <v>0</v>
      </c>
      <c r="BA102" s="231">
        <f t="shared" si="38"/>
        <v>0</v>
      </c>
      <c r="BB102" s="231">
        <f t="shared" si="39"/>
        <v>0</v>
      </c>
      <c r="BC102" s="231">
        <f t="shared" si="40"/>
        <v>0</v>
      </c>
      <c r="BD102" s="231">
        <f t="shared" si="41"/>
        <v>0</v>
      </c>
      <c r="BE102" s="232">
        <f t="shared" si="42"/>
        <v>0</v>
      </c>
      <c r="BF102" s="225">
        <v>39741</v>
      </c>
      <c r="BG102" s="234">
        <f t="shared" si="48"/>
        <v>0</v>
      </c>
      <c r="BH102" s="235">
        <f t="shared" si="49"/>
        <v>0</v>
      </c>
      <c r="BI102" s="235">
        <f t="shared" si="50"/>
        <v>0</v>
      </c>
      <c r="BJ102" s="235">
        <f t="shared" si="51"/>
        <v>0</v>
      </c>
      <c r="BK102" s="235">
        <f t="shared" si="52"/>
        <v>0</v>
      </c>
      <c r="BL102" s="235">
        <f t="shared" si="53"/>
        <v>0</v>
      </c>
      <c r="BM102" s="235">
        <f t="shared" si="54"/>
        <v>0</v>
      </c>
      <c r="BN102" s="235">
        <f t="shared" si="55"/>
        <v>0</v>
      </c>
      <c r="BO102" s="235">
        <f t="shared" si="56"/>
        <v>0</v>
      </c>
      <c r="BP102" s="235">
        <f t="shared" si="57"/>
        <v>0</v>
      </c>
      <c r="BQ102" s="235">
        <f t="shared" si="58"/>
        <v>0</v>
      </c>
      <c r="BR102" s="235">
        <f t="shared" si="59"/>
        <v>0</v>
      </c>
      <c r="BS102" s="235">
        <f t="shared" si="60"/>
        <v>0</v>
      </c>
      <c r="BT102" s="235">
        <f t="shared" si="61"/>
        <v>0</v>
      </c>
      <c r="BU102" s="235">
        <f t="shared" si="62"/>
        <v>0</v>
      </c>
      <c r="BV102" s="235">
        <f t="shared" si="63"/>
        <v>0</v>
      </c>
      <c r="BW102" s="236">
        <f t="shared" si="64"/>
        <v>0</v>
      </c>
    </row>
    <row r="103" spans="1:75">
      <c r="A103" s="225">
        <v>39772</v>
      </c>
      <c r="B103" s="237"/>
      <c r="C103" s="230">
        <f t="shared" ref="C103:S103" si="80">ROUND((C20-C21),2)</f>
        <v>157890681.93000001</v>
      </c>
      <c r="D103" s="230">
        <f t="shared" si="80"/>
        <v>46074524.18</v>
      </c>
      <c r="E103" s="230">
        <f t="shared" si="80"/>
        <v>22300132.559999999</v>
      </c>
      <c r="F103" s="230">
        <f t="shared" si="80"/>
        <v>0</v>
      </c>
      <c r="G103" s="230">
        <f t="shared" si="80"/>
        <v>0</v>
      </c>
      <c r="H103" s="230">
        <f t="shared" si="80"/>
        <v>0</v>
      </c>
      <c r="I103" s="230">
        <f t="shared" si="80"/>
        <v>0</v>
      </c>
      <c r="J103" s="230">
        <f t="shared" si="80"/>
        <v>0</v>
      </c>
      <c r="K103" s="230">
        <f t="shared" si="80"/>
        <v>15762004.609999999</v>
      </c>
      <c r="L103" s="230">
        <f t="shared" si="80"/>
        <v>0</v>
      </c>
      <c r="M103" s="230">
        <f t="shared" si="80"/>
        <v>0</v>
      </c>
      <c r="N103" s="230">
        <f t="shared" si="80"/>
        <v>11913143.02</v>
      </c>
      <c r="O103" s="230">
        <f t="shared" si="80"/>
        <v>0</v>
      </c>
      <c r="P103" s="230">
        <f t="shared" si="80"/>
        <v>0</v>
      </c>
      <c r="Q103" s="230">
        <f t="shared" si="80"/>
        <v>0</v>
      </c>
      <c r="R103" s="230">
        <f t="shared" si="80"/>
        <v>0</v>
      </c>
      <c r="S103" s="230">
        <f t="shared" si="80"/>
        <v>0</v>
      </c>
      <c r="T103" s="209">
        <f t="shared" si="46"/>
        <v>253940486.30000004</v>
      </c>
      <c r="U103" s="689">
        <v>39772</v>
      </c>
      <c r="V103" s="690">
        <v>157890681.93000001</v>
      </c>
      <c r="W103" s="691">
        <v>46074524.18</v>
      </c>
      <c r="X103" s="691">
        <v>22300132.559999999</v>
      </c>
      <c r="Y103" s="691">
        <v>0</v>
      </c>
      <c r="Z103" s="691">
        <v>0</v>
      </c>
      <c r="AA103" s="691">
        <v>0</v>
      </c>
      <c r="AB103" s="691">
        <v>0</v>
      </c>
      <c r="AC103" s="691">
        <v>0</v>
      </c>
      <c r="AD103" s="691">
        <v>15762004.609999999</v>
      </c>
      <c r="AE103" s="691">
        <v>0</v>
      </c>
      <c r="AF103" s="691">
        <v>0</v>
      </c>
      <c r="AG103" s="691">
        <v>11913143.02</v>
      </c>
      <c r="AH103" s="271"/>
      <c r="AI103" s="271"/>
      <c r="AJ103" s="271"/>
      <c r="AK103" s="271"/>
      <c r="AL103" s="271"/>
      <c r="AM103" s="597"/>
      <c r="AN103" s="225">
        <v>39772</v>
      </c>
      <c r="AO103" s="233">
        <f t="shared" si="26"/>
        <v>0</v>
      </c>
      <c r="AP103" s="231">
        <f t="shared" si="27"/>
        <v>0</v>
      </c>
      <c r="AQ103" s="231">
        <f t="shared" si="28"/>
        <v>0</v>
      </c>
      <c r="AR103" s="231">
        <f t="shared" si="29"/>
        <v>0</v>
      </c>
      <c r="AS103" s="231">
        <f t="shared" si="30"/>
        <v>0</v>
      </c>
      <c r="AT103" s="231">
        <f t="shared" si="31"/>
        <v>0</v>
      </c>
      <c r="AU103" s="231">
        <f t="shared" si="32"/>
        <v>0</v>
      </c>
      <c r="AV103" s="231">
        <f t="shared" si="33"/>
        <v>0</v>
      </c>
      <c r="AW103" s="231">
        <f t="shared" si="34"/>
        <v>0</v>
      </c>
      <c r="AX103" s="231">
        <f t="shared" si="35"/>
        <v>0</v>
      </c>
      <c r="AY103" s="231">
        <f t="shared" si="36"/>
        <v>0</v>
      </c>
      <c r="AZ103" s="231">
        <f t="shared" si="37"/>
        <v>0</v>
      </c>
      <c r="BA103" s="231">
        <f t="shared" si="38"/>
        <v>0</v>
      </c>
      <c r="BB103" s="231">
        <f t="shared" si="39"/>
        <v>0</v>
      </c>
      <c r="BC103" s="231">
        <f t="shared" si="40"/>
        <v>0</v>
      </c>
      <c r="BD103" s="231">
        <f t="shared" si="41"/>
        <v>0</v>
      </c>
      <c r="BE103" s="232">
        <f t="shared" si="42"/>
        <v>0</v>
      </c>
      <c r="BF103" s="225">
        <v>39772</v>
      </c>
      <c r="BG103" s="234">
        <f t="shared" si="48"/>
        <v>0</v>
      </c>
      <c r="BH103" s="235">
        <f t="shared" si="49"/>
        <v>0</v>
      </c>
      <c r="BI103" s="235">
        <f t="shared" si="50"/>
        <v>0</v>
      </c>
      <c r="BJ103" s="235">
        <f t="shared" si="51"/>
        <v>0</v>
      </c>
      <c r="BK103" s="235">
        <f t="shared" si="52"/>
        <v>0</v>
      </c>
      <c r="BL103" s="235">
        <f t="shared" si="53"/>
        <v>0</v>
      </c>
      <c r="BM103" s="235">
        <f t="shared" si="54"/>
        <v>0</v>
      </c>
      <c r="BN103" s="235">
        <f t="shared" si="55"/>
        <v>0</v>
      </c>
      <c r="BO103" s="235">
        <f t="shared" si="56"/>
        <v>0</v>
      </c>
      <c r="BP103" s="235">
        <f t="shared" si="57"/>
        <v>0</v>
      </c>
      <c r="BQ103" s="235">
        <f t="shared" si="58"/>
        <v>0</v>
      </c>
      <c r="BR103" s="235">
        <f t="shared" si="59"/>
        <v>0</v>
      </c>
      <c r="BS103" s="235">
        <f t="shared" si="60"/>
        <v>0</v>
      </c>
      <c r="BT103" s="235">
        <f t="shared" si="61"/>
        <v>0</v>
      </c>
      <c r="BU103" s="235">
        <f t="shared" si="62"/>
        <v>0</v>
      </c>
      <c r="BV103" s="235">
        <f t="shared" si="63"/>
        <v>0</v>
      </c>
      <c r="BW103" s="236">
        <f t="shared" si="64"/>
        <v>0</v>
      </c>
    </row>
    <row r="104" spans="1:75">
      <c r="A104" s="225">
        <v>39802</v>
      </c>
      <c r="B104" s="237"/>
      <c r="C104" s="230">
        <f t="shared" ref="C104:S104" si="81">ROUND((C21-C22),2)</f>
        <v>0</v>
      </c>
      <c r="D104" s="230">
        <f t="shared" si="81"/>
        <v>0</v>
      </c>
      <c r="E104" s="230">
        <f t="shared" si="81"/>
        <v>0</v>
      </c>
      <c r="F104" s="230">
        <f t="shared" si="81"/>
        <v>0</v>
      </c>
      <c r="G104" s="230">
        <f t="shared" si="81"/>
        <v>0</v>
      </c>
      <c r="H104" s="230">
        <f t="shared" si="81"/>
        <v>0</v>
      </c>
      <c r="I104" s="230">
        <f t="shared" si="81"/>
        <v>0</v>
      </c>
      <c r="J104" s="230">
        <f t="shared" si="81"/>
        <v>0</v>
      </c>
      <c r="K104" s="230">
        <f t="shared" si="81"/>
        <v>0</v>
      </c>
      <c r="L104" s="230">
        <f t="shared" si="81"/>
        <v>0</v>
      </c>
      <c r="M104" s="230">
        <f t="shared" si="81"/>
        <v>0</v>
      </c>
      <c r="N104" s="230">
        <f t="shared" si="81"/>
        <v>0</v>
      </c>
      <c r="O104" s="230">
        <f t="shared" si="81"/>
        <v>0</v>
      </c>
      <c r="P104" s="230">
        <f t="shared" si="81"/>
        <v>0</v>
      </c>
      <c r="Q104" s="230">
        <f t="shared" si="81"/>
        <v>0</v>
      </c>
      <c r="R104" s="230">
        <f t="shared" si="81"/>
        <v>0</v>
      </c>
      <c r="S104" s="230">
        <f t="shared" si="81"/>
        <v>0</v>
      </c>
      <c r="T104" s="209">
        <f t="shared" si="46"/>
        <v>0</v>
      </c>
      <c r="U104" s="689">
        <v>39802</v>
      </c>
      <c r="V104" s="689"/>
      <c r="W104" s="208"/>
      <c r="X104" s="208"/>
      <c r="Y104" s="208"/>
      <c r="Z104" s="208"/>
      <c r="AA104" s="208"/>
      <c r="AB104" s="208"/>
      <c r="AC104" s="208"/>
      <c r="AD104" s="208"/>
      <c r="AE104" s="208"/>
      <c r="AF104" s="208"/>
      <c r="AG104" s="208"/>
      <c r="AH104" s="231"/>
      <c r="AI104" s="231"/>
      <c r="AJ104" s="231"/>
      <c r="AK104" s="231"/>
      <c r="AL104" s="231"/>
      <c r="AM104" s="232"/>
      <c r="AN104" s="225">
        <v>39802</v>
      </c>
      <c r="AO104" s="233">
        <f t="shared" si="26"/>
        <v>0</v>
      </c>
      <c r="AP104" s="231">
        <f t="shared" si="27"/>
        <v>0</v>
      </c>
      <c r="AQ104" s="231">
        <f t="shared" si="28"/>
        <v>0</v>
      </c>
      <c r="AR104" s="231">
        <f t="shared" si="29"/>
        <v>0</v>
      </c>
      <c r="AS104" s="231">
        <f t="shared" si="30"/>
        <v>0</v>
      </c>
      <c r="AT104" s="231">
        <f t="shared" si="31"/>
        <v>0</v>
      </c>
      <c r="AU104" s="231">
        <f t="shared" si="32"/>
        <v>0</v>
      </c>
      <c r="AV104" s="231">
        <f t="shared" si="33"/>
        <v>0</v>
      </c>
      <c r="AW104" s="231">
        <f t="shared" si="34"/>
        <v>0</v>
      </c>
      <c r="AX104" s="231">
        <f t="shared" si="35"/>
        <v>0</v>
      </c>
      <c r="AY104" s="231">
        <f t="shared" si="36"/>
        <v>0</v>
      </c>
      <c r="AZ104" s="231">
        <f t="shared" si="37"/>
        <v>0</v>
      </c>
      <c r="BA104" s="231">
        <f t="shared" si="38"/>
        <v>0</v>
      </c>
      <c r="BB104" s="231">
        <f t="shared" si="39"/>
        <v>0</v>
      </c>
      <c r="BC104" s="231">
        <f t="shared" si="40"/>
        <v>0</v>
      </c>
      <c r="BD104" s="231">
        <f t="shared" si="41"/>
        <v>0</v>
      </c>
      <c r="BE104" s="232">
        <f t="shared" si="42"/>
        <v>0</v>
      </c>
      <c r="BF104" s="225">
        <v>39802</v>
      </c>
      <c r="BG104" s="234">
        <f t="shared" si="48"/>
        <v>0</v>
      </c>
      <c r="BH104" s="235">
        <f t="shared" si="49"/>
        <v>0</v>
      </c>
      <c r="BI104" s="235">
        <f t="shared" si="50"/>
        <v>0</v>
      </c>
      <c r="BJ104" s="235">
        <f t="shared" si="51"/>
        <v>0</v>
      </c>
      <c r="BK104" s="235">
        <f t="shared" si="52"/>
        <v>0</v>
      </c>
      <c r="BL104" s="235">
        <f t="shared" si="53"/>
        <v>0</v>
      </c>
      <c r="BM104" s="235">
        <f t="shared" si="54"/>
        <v>0</v>
      </c>
      <c r="BN104" s="235">
        <f t="shared" si="55"/>
        <v>0</v>
      </c>
      <c r="BO104" s="235">
        <f t="shared" si="56"/>
        <v>0</v>
      </c>
      <c r="BP104" s="235">
        <f t="shared" si="57"/>
        <v>0</v>
      </c>
      <c r="BQ104" s="235">
        <f t="shared" si="58"/>
        <v>0</v>
      </c>
      <c r="BR104" s="235">
        <f t="shared" si="59"/>
        <v>0</v>
      </c>
      <c r="BS104" s="235">
        <f t="shared" si="60"/>
        <v>0</v>
      </c>
      <c r="BT104" s="235">
        <f t="shared" si="61"/>
        <v>0</v>
      </c>
      <c r="BU104" s="235">
        <f t="shared" si="62"/>
        <v>0</v>
      </c>
      <c r="BV104" s="235">
        <f t="shared" si="63"/>
        <v>0</v>
      </c>
      <c r="BW104" s="236">
        <f t="shared" si="64"/>
        <v>0</v>
      </c>
    </row>
    <row r="105" spans="1:75">
      <c r="A105" s="225">
        <v>39833</v>
      </c>
      <c r="B105" s="237"/>
      <c r="C105" s="230">
        <f t="shared" ref="C105:S105" si="82">ROUND((C22-C23),2)</f>
        <v>0</v>
      </c>
      <c r="D105" s="230">
        <f t="shared" si="82"/>
        <v>0</v>
      </c>
      <c r="E105" s="230">
        <f t="shared" si="82"/>
        <v>0</v>
      </c>
      <c r="F105" s="230">
        <f t="shared" si="82"/>
        <v>0</v>
      </c>
      <c r="G105" s="230">
        <f t="shared" si="82"/>
        <v>0</v>
      </c>
      <c r="H105" s="230">
        <f t="shared" si="82"/>
        <v>0</v>
      </c>
      <c r="I105" s="230">
        <f t="shared" si="82"/>
        <v>0</v>
      </c>
      <c r="J105" s="230">
        <f t="shared" si="82"/>
        <v>0</v>
      </c>
      <c r="K105" s="230">
        <f t="shared" si="82"/>
        <v>0</v>
      </c>
      <c r="L105" s="230">
        <f t="shared" si="82"/>
        <v>0</v>
      </c>
      <c r="M105" s="230">
        <f t="shared" si="82"/>
        <v>0</v>
      </c>
      <c r="N105" s="230">
        <f t="shared" si="82"/>
        <v>0</v>
      </c>
      <c r="O105" s="230">
        <f t="shared" si="82"/>
        <v>0</v>
      </c>
      <c r="P105" s="230">
        <f t="shared" si="82"/>
        <v>0</v>
      </c>
      <c r="Q105" s="230">
        <f t="shared" si="82"/>
        <v>0</v>
      </c>
      <c r="R105" s="230">
        <f t="shared" si="82"/>
        <v>0</v>
      </c>
      <c r="S105" s="230">
        <f t="shared" si="82"/>
        <v>0</v>
      </c>
      <c r="T105" s="209">
        <f t="shared" si="46"/>
        <v>0</v>
      </c>
      <c r="U105" s="689">
        <v>39833</v>
      </c>
      <c r="V105" s="689"/>
      <c r="W105" s="208"/>
      <c r="X105" s="208"/>
      <c r="Y105" s="208"/>
      <c r="Z105" s="208"/>
      <c r="AA105" s="208"/>
      <c r="AB105" s="208"/>
      <c r="AC105" s="208"/>
      <c r="AD105" s="208"/>
      <c r="AE105" s="208"/>
      <c r="AF105" s="208"/>
      <c r="AG105" s="208"/>
      <c r="AH105" s="231"/>
      <c r="AI105" s="231"/>
      <c r="AJ105" s="231"/>
      <c r="AK105" s="231"/>
      <c r="AL105" s="231"/>
      <c r="AM105" s="232"/>
      <c r="AN105" s="225">
        <v>39833</v>
      </c>
      <c r="AO105" s="233">
        <f t="shared" si="26"/>
        <v>0</v>
      </c>
      <c r="AP105" s="231">
        <f t="shared" si="27"/>
        <v>0</v>
      </c>
      <c r="AQ105" s="231">
        <f t="shared" si="28"/>
        <v>0</v>
      </c>
      <c r="AR105" s="231">
        <f t="shared" si="29"/>
        <v>0</v>
      </c>
      <c r="AS105" s="231">
        <f t="shared" si="30"/>
        <v>0</v>
      </c>
      <c r="AT105" s="231">
        <f t="shared" si="31"/>
        <v>0</v>
      </c>
      <c r="AU105" s="231">
        <f t="shared" si="32"/>
        <v>0</v>
      </c>
      <c r="AV105" s="231">
        <f t="shared" si="33"/>
        <v>0</v>
      </c>
      <c r="AW105" s="231">
        <f t="shared" si="34"/>
        <v>0</v>
      </c>
      <c r="AX105" s="231">
        <f t="shared" si="35"/>
        <v>0</v>
      </c>
      <c r="AY105" s="231">
        <f t="shared" si="36"/>
        <v>0</v>
      </c>
      <c r="AZ105" s="231">
        <f t="shared" si="37"/>
        <v>0</v>
      </c>
      <c r="BA105" s="231">
        <f t="shared" si="38"/>
        <v>0</v>
      </c>
      <c r="BB105" s="231">
        <f t="shared" si="39"/>
        <v>0</v>
      </c>
      <c r="BC105" s="231">
        <f t="shared" si="40"/>
        <v>0</v>
      </c>
      <c r="BD105" s="231">
        <f t="shared" si="41"/>
        <v>0</v>
      </c>
      <c r="BE105" s="232">
        <f t="shared" si="42"/>
        <v>0</v>
      </c>
      <c r="BF105" s="225">
        <v>39833</v>
      </c>
      <c r="BG105" s="234">
        <f t="shared" si="48"/>
        <v>0</v>
      </c>
      <c r="BH105" s="235">
        <f t="shared" si="49"/>
        <v>0</v>
      </c>
      <c r="BI105" s="235">
        <f t="shared" si="50"/>
        <v>0</v>
      </c>
      <c r="BJ105" s="235">
        <f t="shared" si="51"/>
        <v>0</v>
      </c>
      <c r="BK105" s="235">
        <f t="shared" si="52"/>
        <v>0</v>
      </c>
      <c r="BL105" s="235">
        <f t="shared" si="53"/>
        <v>0</v>
      </c>
      <c r="BM105" s="235">
        <f t="shared" si="54"/>
        <v>0</v>
      </c>
      <c r="BN105" s="235">
        <f t="shared" si="55"/>
        <v>0</v>
      </c>
      <c r="BO105" s="235">
        <f t="shared" si="56"/>
        <v>0</v>
      </c>
      <c r="BP105" s="235">
        <f t="shared" si="57"/>
        <v>0</v>
      </c>
      <c r="BQ105" s="235">
        <f t="shared" si="58"/>
        <v>0</v>
      </c>
      <c r="BR105" s="235">
        <f t="shared" si="59"/>
        <v>0</v>
      </c>
      <c r="BS105" s="235">
        <f t="shared" si="60"/>
        <v>0</v>
      </c>
      <c r="BT105" s="235">
        <f t="shared" si="61"/>
        <v>0</v>
      </c>
      <c r="BU105" s="235">
        <f t="shared" si="62"/>
        <v>0</v>
      </c>
      <c r="BV105" s="235">
        <f t="shared" si="63"/>
        <v>0</v>
      </c>
      <c r="BW105" s="236">
        <f t="shared" si="64"/>
        <v>0</v>
      </c>
    </row>
    <row r="106" spans="1:75">
      <c r="A106" s="225">
        <v>39864</v>
      </c>
      <c r="B106" s="237"/>
      <c r="C106" s="230">
        <f t="shared" ref="C106:S106" si="83">ROUND((C23-C24),2)</f>
        <v>0</v>
      </c>
      <c r="D106" s="230">
        <f t="shared" si="83"/>
        <v>0</v>
      </c>
      <c r="E106" s="230">
        <f t="shared" si="83"/>
        <v>0</v>
      </c>
      <c r="F106" s="230">
        <f t="shared" si="83"/>
        <v>138921879.44999999</v>
      </c>
      <c r="G106" s="230">
        <f t="shared" si="83"/>
        <v>51643166.149999999</v>
      </c>
      <c r="H106" s="230">
        <f t="shared" si="83"/>
        <v>0</v>
      </c>
      <c r="I106" s="230">
        <f t="shared" si="83"/>
        <v>0</v>
      </c>
      <c r="J106" s="230">
        <f t="shared" si="83"/>
        <v>0</v>
      </c>
      <c r="K106" s="230">
        <f t="shared" si="83"/>
        <v>27528038.68</v>
      </c>
      <c r="L106" s="230">
        <f t="shared" si="83"/>
        <v>0</v>
      </c>
      <c r="M106" s="230">
        <f t="shared" si="83"/>
        <v>0</v>
      </c>
      <c r="N106" s="230">
        <f t="shared" si="83"/>
        <v>20806075.75</v>
      </c>
      <c r="O106" s="230">
        <f t="shared" si="83"/>
        <v>0</v>
      </c>
      <c r="P106" s="230">
        <f t="shared" si="83"/>
        <v>0</v>
      </c>
      <c r="Q106" s="230">
        <f t="shared" si="83"/>
        <v>0</v>
      </c>
      <c r="R106" s="230">
        <f t="shared" si="83"/>
        <v>0</v>
      </c>
      <c r="S106" s="230">
        <f t="shared" si="83"/>
        <v>0</v>
      </c>
      <c r="T106" s="209">
        <f t="shared" si="46"/>
        <v>238899160.03</v>
      </c>
      <c r="U106" s="689">
        <v>39864</v>
      </c>
      <c r="V106" s="689">
        <v>0</v>
      </c>
      <c r="W106" s="208">
        <v>0</v>
      </c>
      <c r="X106" s="208">
        <v>0</v>
      </c>
      <c r="Y106" s="263">
        <v>138921879.44999999</v>
      </c>
      <c r="Z106" s="263">
        <v>51643166.149999999</v>
      </c>
      <c r="AA106" s="207">
        <v>0</v>
      </c>
      <c r="AB106" s="208">
        <v>0</v>
      </c>
      <c r="AC106" s="208">
        <v>0</v>
      </c>
      <c r="AD106" s="208">
        <v>27528038.68</v>
      </c>
      <c r="AE106" s="208">
        <v>0</v>
      </c>
      <c r="AF106" s="208">
        <v>0</v>
      </c>
      <c r="AG106" s="263">
        <v>20806075.75</v>
      </c>
      <c r="AH106" s="231"/>
      <c r="AI106" s="231"/>
      <c r="AJ106" s="231"/>
      <c r="AK106" s="231"/>
      <c r="AL106" s="231"/>
      <c r="AM106" s="232"/>
      <c r="AN106" s="225">
        <v>39864</v>
      </c>
      <c r="AO106" s="233">
        <f t="shared" si="26"/>
        <v>0</v>
      </c>
      <c r="AP106" s="231">
        <f t="shared" si="27"/>
        <v>0</v>
      </c>
      <c r="AQ106" s="231">
        <f t="shared" si="28"/>
        <v>0</v>
      </c>
      <c r="AR106" s="231">
        <f t="shared" si="29"/>
        <v>0</v>
      </c>
      <c r="AS106" s="231">
        <f t="shared" si="30"/>
        <v>0</v>
      </c>
      <c r="AT106" s="231">
        <f t="shared" si="31"/>
        <v>0</v>
      </c>
      <c r="AU106" s="231">
        <f t="shared" si="32"/>
        <v>0</v>
      </c>
      <c r="AV106" s="231">
        <f t="shared" si="33"/>
        <v>0</v>
      </c>
      <c r="AW106" s="231">
        <f t="shared" si="34"/>
        <v>0</v>
      </c>
      <c r="AX106" s="231">
        <f t="shared" si="35"/>
        <v>0</v>
      </c>
      <c r="AY106" s="231">
        <f t="shared" si="36"/>
        <v>0</v>
      </c>
      <c r="AZ106" s="231">
        <f t="shared" si="37"/>
        <v>0</v>
      </c>
      <c r="BA106" s="231">
        <f t="shared" si="38"/>
        <v>0</v>
      </c>
      <c r="BB106" s="231">
        <f t="shared" si="39"/>
        <v>0</v>
      </c>
      <c r="BC106" s="231">
        <f t="shared" si="40"/>
        <v>0</v>
      </c>
      <c r="BD106" s="231">
        <f t="shared" si="41"/>
        <v>0</v>
      </c>
      <c r="BE106" s="232">
        <f t="shared" si="42"/>
        <v>0</v>
      </c>
      <c r="BF106" s="225">
        <v>39864</v>
      </c>
      <c r="BG106" s="234">
        <f t="shared" si="48"/>
        <v>0</v>
      </c>
      <c r="BH106" s="235">
        <f t="shared" si="49"/>
        <v>0</v>
      </c>
      <c r="BI106" s="235">
        <f t="shared" si="50"/>
        <v>0</v>
      </c>
      <c r="BJ106" s="235">
        <f t="shared" si="51"/>
        <v>0</v>
      </c>
      <c r="BK106" s="235">
        <f t="shared" si="52"/>
        <v>0</v>
      </c>
      <c r="BL106" s="235">
        <f t="shared" si="53"/>
        <v>0</v>
      </c>
      <c r="BM106" s="235">
        <f t="shared" si="54"/>
        <v>0</v>
      </c>
      <c r="BN106" s="235">
        <f t="shared" si="55"/>
        <v>0</v>
      </c>
      <c r="BO106" s="235">
        <f t="shared" si="56"/>
        <v>0</v>
      </c>
      <c r="BP106" s="235">
        <f t="shared" si="57"/>
        <v>0</v>
      </c>
      <c r="BQ106" s="235">
        <f t="shared" si="58"/>
        <v>0</v>
      </c>
      <c r="BR106" s="235">
        <f t="shared" si="59"/>
        <v>0</v>
      </c>
      <c r="BS106" s="235">
        <f t="shared" si="60"/>
        <v>0</v>
      </c>
      <c r="BT106" s="235">
        <f t="shared" si="61"/>
        <v>0</v>
      </c>
      <c r="BU106" s="235">
        <f t="shared" si="62"/>
        <v>0</v>
      </c>
      <c r="BV106" s="235">
        <f t="shared" si="63"/>
        <v>0</v>
      </c>
      <c r="BW106" s="236">
        <f t="shared" si="64"/>
        <v>0</v>
      </c>
    </row>
    <row r="107" spans="1:75">
      <c r="A107" s="225">
        <v>39892</v>
      </c>
      <c r="B107" s="237"/>
      <c r="C107" s="230">
        <f t="shared" ref="C107:S107" si="84">ROUND((C24-C25),2)</f>
        <v>0</v>
      </c>
      <c r="D107" s="230">
        <f t="shared" si="84"/>
        <v>0</v>
      </c>
      <c r="E107" s="230">
        <f t="shared" si="84"/>
        <v>0</v>
      </c>
      <c r="F107" s="364">
        <f t="shared" si="84"/>
        <v>0</v>
      </c>
      <c r="G107" s="364">
        <f t="shared" si="84"/>
        <v>0</v>
      </c>
      <c r="H107" s="230">
        <f t="shared" si="84"/>
        <v>0</v>
      </c>
      <c r="I107" s="230">
        <f t="shared" si="84"/>
        <v>0</v>
      </c>
      <c r="J107" s="230">
        <f t="shared" si="84"/>
        <v>0</v>
      </c>
      <c r="K107" s="230">
        <f t="shared" si="84"/>
        <v>0</v>
      </c>
      <c r="L107" s="230">
        <f t="shared" si="84"/>
        <v>0</v>
      </c>
      <c r="M107" s="230">
        <f t="shared" si="84"/>
        <v>0</v>
      </c>
      <c r="N107" s="230">
        <f t="shared" si="84"/>
        <v>0</v>
      </c>
      <c r="O107" s="230">
        <f t="shared" si="84"/>
        <v>0</v>
      </c>
      <c r="P107" s="230">
        <f t="shared" si="84"/>
        <v>0</v>
      </c>
      <c r="Q107" s="230">
        <f t="shared" si="84"/>
        <v>0</v>
      </c>
      <c r="R107" s="230">
        <f t="shared" si="84"/>
        <v>0</v>
      </c>
      <c r="S107" s="230">
        <f t="shared" si="84"/>
        <v>0</v>
      </c>
      <c r="T107" s="209">
        <f t="shared" si="46"/>
        <v>0</v>
      </c>
      <c r="U107" s="225">
        <v>39892</v>
      </c>
      <c r="V107" s="225"/>
      <c r="W107" s="231"/>
      <c r="X107" s="231"/>
      <c r="Y107" s="231"/>
      <c r="Z107" s="231"/>
      <c r="AA107" s="231"/>
      <c r="AB107" s="231"/>
      <c r="AC107" s="231"/>
      <c r="AD107" s="231"/>
      <c r="AE107" s="231"/>
      <c r="AF107" s="231"/>
      <c r="AG107" s="231"/>
      <c r="AH107" s="231"/>
      <c r="AI107" s="231"/>
      <c r="AJ107" s="231"/>
      <c r="AK107" s="231"/>
      <c r="AL107" s="231"/>
      <c r="AM107" s="232"/>
      <c r="AN107" s="225">
        <v>39892</v>
      </c>
      <c r="AO107" s="233">
        <f t="shared" si="26"/>
        <v>0</v>
      </c>
      <c r="AP107" s="231">
        <f t="shared" si="27"/>
        <v>0</v>
      </c>
      <c r="AQ107" s="231">
        <f t="shared" si="28"/>
        <v>0</v>
      </c>
      <c r="AR107" s="231">
        <f t="shared" si="29"/>
        <v>0</v>
      </c>
      <c r="AS107" s="231">
        <f t="shared" si="30"/>
        <v>0</v>
      </c>
      <c r="AT107" s="231">
        <f t="shared" si="31"/>
        <v>0</v>
      </c>
      <c r="AU107" s="231">
        <f t="shared" si="32"/>
        <v>0</v>
      </c>
      <c r="AV107" s="231">
        <f t="shared" si="33"/>
        <v>0</v>
      </c>
      <c r="AW107" s="231">
        <f t="shared" si="34"/>
        <v>0</v>
      </c>
      <c r="AX107" s="231">
        <f t="shared" si="35"/>
        <v>0</v>
      </c>
      <c r="AY107" s="231">
        <f t="shared" si="36"/>
        <v>0</v>
      </c>
      <c r="AZ107" s="231">
        <f t="shared" si="37"/>
        <v>0</v>
      </c>
      <c r="BA107" s="231">
        <f t="shared" si="38"/>
        <v>0</v>
      </c>
      <c r="BB107" s="231">
        <f t="shared" si="39"/>
        <v>0</v>
      </c>
      <c r="BC107" s="231">
        <f t="shared" si="40"/>
        <v>0</v>
      </c>
      <c r="BD107" s="231">
        <f t="shared" si="41"/>
        <v>0</v>
      </c>
      <c r="BE107" s="232">
        <f t="shared" si="42"/>
        <v>0</v>
      </c>
      <c r="BF107" s="225">
        <v>39892</v>
      </c>
      <c r="BG107" s="234">
        <f t="shared" si="48"/>
        <v>0</v>
      </c>
      <c r="BH107" s="235">
        <f t="shared" si="49"/>
        <v>0</v>
      </c>
      <c r="BI107" s="235">
        <f t="shared" si="50"/>
        <v>0</v>
      </c>
      <c r="BJ107" s="235">
        <f t="shared" si="51"/>
        <v>0</v>
      </c>
      <c r="BK107" s="235">
        <f t="shared" si="52"/>
        <v>0</v>
      </c>
      <c r="BL107" s="235">
        <f t="shared" si="53"/>
        <v>0</v>
      </c>
      <c r="BM107" s="235">
        <f t="shared" si="54"/>
        <v>0</v>
      </c>
      <c r="BN107" s="235">
        <f t="shared" si="55"/>
        <v>0</v>
      </c>
      <c r="BO107" s="235">
        <f t="shared" si="56"/>
        <v>0</v>
      </c>
      <c r="BP107" s="235">
        <f t="shared" si="57"/>
        <v>0</v>
      </c>
      <c r="BQ107" s="235">
        <f t="shared" si="58"/>
        <v>0</v>
      </c>
      <c r="BR107" s="235">
        <f t="shared" si="59"/>
        <v>0</v>
      </c>
      <c r="BS107" s="235">
        <f t="shared" si="60"/>
        <v>0</v>
      </c>
      <c r="BT107" s="235">
        <f t="shared" si="61"/>
        <v>0</v>
      </c>
      <c r="BU107" s="235">
        <f t="shared" si="62"/>
        <v>0</v>
      </c>
      <c r="BV107" s="235">
        <f t="shared" si="63"/>
        <v>0</v>
      </c>
      <c r="BW107" s="236">
        <f t="shared" si="64"/>
        <v>0</v>
      </c>
    </row>
    <row r="108" spans="1:75">
      <c r="A108" s="225">
        <v>39923</v>
      </c>
      <c r="B108" s="237"/>
      <c r="C108" s="230">
        <f t="shared" ref="C108:S108" si="85">ROUND((C25-C26),2)</f>
        <v>0</v>
      </c>
      <c r="D108" s="230">
        <f t="shared" si="85"/>
        <v>0</v>
      </c>
      <c r="E108" s="230">
        <f t="shared" si="85"/>
        <v>0</v>
      </c>
      <c r="F108" s="364">
        <f t="shared" si="85"/>
        <v>0</v>
      </c>
      <c r="G108" s="364">
        <f t="shared" si="85"/>
        <v>0</v>
      </c>
      <c r="H108" s="230">
        <f t="shared" si="85"/>
        <v>0</v>
      </c>
      <c r="I108" s="230">
        <f t="shared" si="85"/>
        <v>0</v>
      </c>
      <c r="J108" s="230">
        <f t="shared" si="85"/>
        <v>0</v>
      </c>
      <c r="K108" s="230">
        <f t="shared" si="85"/>
        <v>0</v>
      </c>
      <c r="L108" s="230">
        <f t="shared" si="85"/>
        <v>0</v>
      </c>
      <c r="M108" s="230">
        <f t="shared" si="85"/>
        <v>0</v>
      </c>
      <c r="N108" s="230">
        <f t="shared" si="85"/>
        <v>0</v>
      </c>
      <c r="O108" s="230">
        <f t="shared" si="85"/>
        <v>0</v>
      </c>
      <c r="P108" s="230">
        <f t="shared" si="85"/>
        <v>0</v>
      </c>
      <c r="Q108" s="230">
        <f t="shared" si="85"/>
        <v>0</v>
      </c>
      <c r="R108" s="230">
        <f t="shared" si="85"/>
        <v>0</v>
      </c>
      <c r="S108" s="230">
        <f t="shared" si="85"/>
        <v>0</v>
      </c>
      <c r="T108" s="209">
        <f t="shared" si="46"/>
        <v>0</v>
      </c>
      <c r="U108" s="225">
        <v>39923</v>
      </c>
      <c r="V108" s="225"/>
      <c r="W108" s="231"/>
      <c r="X108" s="231"/>
      <c r="Y108" s="231"/>
      <c r="Z108" s="231"/>
      <c r="AA108" s="231"/>
      <c r="AB108" s="231"/>
      <c r="AC108" s="231"/>
      <c r="AD108" s="231"/>
      <c r="AE108" s="231"/>
      <c r="AF108" s="231"/>
      <c r="AG108" s="231"/>
      <c r="AH108" s="231"/>
      <c r="AI108" s="231"/>
      <c r="AJ108" s="231"/>
      <c r="AK108" s="231"/>
      <c r="AL108" s="231"/>
      <c r="AM108" s="232"/>
      <c r="AN108" s="225">
        <v>39923</v>
      </c>
      <c r="AO108" s="233">
        <f t="shared" si="26"/>
        <v>0</v>
      </c>
      <c r="AP108" s="231">
        <f t="shared" si="27"/>
        <v>0</v>
      </c>
      <c r="AQ108" s="231">
        <f t="shared" si="28"/>
        <v>0</v>
      </c>
      <c r="AR108" s="231">
        <f t="shared" si="29"/>
        <v>0</v>
      </c>
      <c r="AS108" s="231">
        <f t="shared" si="30"/>
        <v>0</v>
      </c>
      <c r="AT108" s="231">
        <f t="shared" si="31"/>
        <v>0</v>
      </c>
      <c r="AU108" s="231">
        <f t="shared" si="32"/>
        <v>0</v>
      </c>
      <c r="AV108" s="231">
        <f t="shared" si="33"/>
        <v>0</v>
      </c>
      <c r="AW108" s="231">
        <f t="shared" si="34"/>
        <v>0</v>
      </c>
      <c r="AX108" s="231">
        <f t="shared" si="35"/>
        <v>0</v>
      </c>
      <c r="AY108" s="231">
        <f t="shared" si="36"/>
        <v>0</v>
      </c>
      <c r="AZ108" s="231">
        <f t="shared" si="37"/>
        <v>0</v>
      </c>
      <c r="BA108" s="231">
        <f t="shared" si="38"/>
        <v>0</v>
      </c>
      <c r="BB108" s="231">
        <f t="shared" si="39"/>
        <v>0</v>
      </c>
      <c r="BC108" s="231">
        <f t="shared" si="40"/>
        <v>0</v>
      </c>
      <c r="BD108" s="231">
        <f t="shared" si="41"/>
        <v>0</v>
      </c>
      <c r="BE108" s="232">
        <f t="shared" si="42"/>
        <v>0</v>
      </c>
      <c r="BF108" s="225">
        <v>39923</v>
      </c>
      <c r="BG108" s="234">
        <f t="shared" si="48"/>
        <v>0</v>
      </c>
      <c r="BH108" s="235">
        <f t="shared" si="49"/>
        <v>0</v>
      </c>
      <c r="BI108" s="235">
        <f t="shared" si="50"/>
        <v>0</v>
      </c>
      <c r="BJ108" s="235">
        <f t="shared" si="51"/>
        <v>0</v>
      </c>
      <c r="BK108" s="235">
        <f t="shared" si="52"/>
        <v>0</v>
      </c>
      <c r="BL108" s="235">
        <f t="shared" si="53"/>
        <v>0</v>
      </c>
      <c r="BM108" s="235">
        <f t="shared" si="54"/>
        <v>0</v>
      </c>
      <c r="BN108" s="235">
        <f t="shared" si="55"/>
        <v>0</v>
      </c>
      <c r="BO108" s="235">
        <f t="shared" si="56"/>
        <v>0</v>
      </c>
      <c r="BP108" s="235">
        <f t="shared" si="57"/>
        <v>0</v>
      </c>
      <c r="BQ108" s="235">
        <f t="shared" si="58"/>
        <v>0</v>
      </c>
      <c r="BR108" s="235">
        <f t="shared" si="59"/>
        <v>0</v>
      </c>
      <c r="BS108" s="235">
        <f t="shared" si="60"/>
        <v>0</v>
      </c>
      <c r="BT108" s="235">
        <f t="shared" si="61"/>
        <v>0</v>
      </c>
      <c r="BU108" s="235">
        <f t="shared" si="62"/>
        <v>0</v>
      </c>
      <c r="BV108" s="235">
        <f t="shared" si="63"/>
        <v>0</v>
      </c>
      <c r="BW108" s="236">
        <f t="shared" si="64"/>
        <v>0</v>
      </c>
    </row>
    <row r="109" spans="1:75">
      <c r="A109" s="225">
        <v>39953</v>
      </c>
      <c r="B109" s="237"/>
      <c r="C109" s="230">
        <f t="shared" ref="C109:S109" si="86">ROUND((C26-C27),2)</f>
        <v>0</v>
      </c>
      <c r="D109" s="230">
        <f t="shared" si="86"/>
        <v>0</v>
      </c>
      <c r="E109" s="230">
        <f t="shared" si="86"/>
        <v>0</v>
      </c>
      <c r="F109" s="230">
        <f t="shared" si="86"/>
        <v>166816848.13</v>
      </c>
      <c r="G109" s="230">
        <f t="shared" si="86"/>
        <v>62012911.420000002</v>
      </c>
      <c r="H109" s="230">
        <f t="shared" si="86"/>
        <v>0</v>
      </c>
      <c r="I109" s="230">
        <f t="shared" si="86"/>
        <v>0</v>
      </c>
      <c r="J109" s="230">
        <f t="shared" si="86"/>
        <v>0</v>
      </c>
      <c r="K109" s="230">
        <f t="shared" si="86"/>
        <v>0</v>
      </c>
      <c r="L109" s="230">
        <f t="shared" si="86"/>
        <v>0</v>
      </c>
      <c r="M109" s="230">
        <f t="shared" si="86"/>
        <v>0</v>
      </c>
      <c r="N109" s="230">
        <f t="shared" si="86"/>
        <v>0</v>
      </c>
      <c r="O109" s="230">
        <f t="shared" si="86"/>
        <v>0</v>
      </c>
      <c r="P109" s="230">
        <f t="shared" si="86"/>
        <v>0</v>
      </c>
      <c r="Q109" s="230">
        <f t="shared" si="86"/>
        <v>0</v>
      </c>
      <c r="R109" s="230">
        <f t="shared" si="86"/>
        <v>0</v>
      </c>
      <c r="S109" s="230">
        <f t="shared" si="86"/>
        <v>0</v>
      </c>
      <c r="T109" s="209">
        <f t="shared" si="46"/>
        <v>228829759.55000001</v>
      </c>
      <c r="U109" s="225">
        <v>39953</v>
      </c>
      <c r="V109" s="372">
        <v>0</v>
      </c>
      <c r="W109" s="259">
        <v>0</v>
      </c>
      <c r="X109" s="259">
        <v>0</v>
      </c>
      <c r="Y109" s="685">
        <v>166816848.13</v>
      </c>
      <c r="Z109" s="685">
        <v>62012911.420000002</v>
      </c>
      <c r="AA109" s="259">
        <v>0</v>
      </c>
      <c r="AB109" s="259">
        <v>0</v>
      </c>
      <c r="AC109" s="259">
        <v>0</v>
      </c>
      <c r="AD109" s="259">
        <v>0</v>
      </c>
      <c r="AE109" s="259">
        <v>0</v>
      </c>
      <c r="AF109" s="259">
        <v>0</v>
      </c>
      <c r="AG109" s="259">
        <v>0</v>
      </c>
      <c r="AH109" s="259">
        <v>0</v>
      </c>
      <c r="AI109" s="259">
        <v>0</v>
      </c>
      <c r="AJ109" s="259">
        <v>0</v>
      </c>
      <c r="AK109" s="259">
        <v>0</v>
      </c>
      <c r="AL109" s="259">
        <v>0</v>
      </c>
      <c r="AM109" s="232"/>
      <c r="AN109" s="225">
        <v>39953</v>
      </c>
      <c r="AO109" s="233">
        <f t="shared" si="26"/>
        <v>0</v>
      </c>
      <c r="AP109" s="231">
        <f t="shared" si="27"/>
        <v>0</v>
      </c>
      <c r="AQ109" s="231">
        <f t="shared" si="28"/>
        <v>0</v>
      </c>
      <c r="AR109" s="231">
        <f t="shared" si="29"/>
        <v>0</v>
      </c>
      <c r="AS109" s="231">
        <f t="shared" si="30"/>
        <v>0</v>
      </c>
      <c r="AT109" s="231">
        <f t="shared" si="31"/>
        <v>0</v>
      </c>
      <c r="AU109" s="231">
        <f t="shared" si="32"/>
        <v>0</v>
      </c>
      <c r="AV109" s="231">
        <f t="shared" si="33"/>
        <v>0</v>
      </c>
      <c r="AW109" s="231">
        <f t="shared" si="34"/>
        <v>0</v>
      </c>
      <c r="AX109" s="231">
        <f t="shared" si="35"/>
        <v>0</v>
      </c>
      <c r="AY109" s="231">
        <f t="shared" si="36"/>
        <v>0</v>
      </c>
      <c r="AZ109" s="231">
        <f t="shared" si="37"/>
        <v>0</v>
      </c>
      <c r="BA109" s="231">
        <f t="shared" si="38"/>
        <v>0</v>
      </c>
      <c r="BB109" s="231">
        <f t="shared" si="39"/>
        <v>0</v>
      </c>
      <c r="BC109" s="231">
        <f t="shared" si="40"/>
        <v>0</v>
      </c>
      <c r="BD109" s="231">
        <f t="shared" si="41"/>
        <v>0</v>
      </c>
      <c r="BE109" s="232">
        <f t="shared" si="42"/>
        <v>0</v>
      </c>
      <c r="BF109" s="225">
        <v>39953</v>
      </c>
      <c r="BG109" s="234">
        <f t="shared" si="48"/>
        <v>0</v>
      </c>
      <c r="BH109" s="235">
        <f t="shared" si="49"/>
        <v>0</v>
      </c>
      <c r="BI109" s="235">
        <f t="shared" si="50"/>
        <v>0</v>
      </c>
      <c r="BJ109" s="235">
        <f t="shared" si="51"/>
        <v>0</v>
      </c>
      <c r="BK109" s="235">
        <f t="shared" si="52"/>
        <v>0</v>
      </c>
      <c r="BL109" s="235">
        <f t="shared" si="53"/>
        <v>0</v>
      </c>
      <c r="BM109" s="235">
        <f t="shared" si="54"/>
        <v>0</v>
      </c>
      <c r="BN109" s="235">
        <f t="shared" si="55"/>
        <v>0</v>
      </c>
      <c r="BO109" s="235">
        <f t="shared" si="56"/>
        <v>0</v>
      </c>
      <c r="BP109" s="235">
        <f t="shared" si="57"/>
        <v>0</v>
      </c>
      <c r="BQ109" s="235">
        <f t="shared" si="58"/>
        <v>0</v>
      </c>
      <c r="BR109" s="235">
        <f t="shared" si="59"/>
        <v>0</v>
      </c>
      <c r="BS109" s="235">
        <f t="shared" si="60"/>
        <v>0</v>
      </c>
      <c r="BT109" s="235">
        <f t="shared" si="61"/>
        <v>0</v>
      </c>
      <c r="BU109" s="235">
        <f t="shared" si="62"/>
        <v>0</v>
      </c>
      <c r="BV109" s="235">
        <f t="shared" si="63"/>
        <v>0</v>
      </c>
      <c r="BW109" s="236">
        <f t="shared" si="64"/>
        <v>0</v>
      </c>
    </row>
    <row r="110" spans="1:75">
      <c r="A110" s="225">
        <v>39984</v>
      </c>
      <c r="B110" s="237"/>
      <c r="C110" s="230">
        <f t="shared" ref="C110:S110" si="87">ROUND((C27-C28),2)</f>
        <v>0</v>
      </c>
      <c r="D110" s="230">
        <f t="shared" si="87"/>
        <v>0</v>
      </c>
      <c r="E110" s="230">
        <f t="shared" si="87"/>
        <v>0</v>
      </c>
      <c r="F110" s="230">
        <f t="shared" si="87"/>
        <v>0</v>
      </c>
      <c r="G110" s="230">
        <f t="shared" si="87"/>
        <v>0</v>
      </c>
      <c r="H110" s="230">
        <f t="shared" si="87"/>
        <v>0</v>
      </c>
      <c r="I110" s="230">
        <f t="shared" si="87"/>
        <v>0</v>
      </c>
      <c r="J110" s="230">
        <f t="shared" si="87"/>
        <v>0</v>
      </c>
      <c r="K110" s="230">
        <f t="shared" si="87"/>
        <v>0</v>
      </c>
      <c r="L110" s="230">
        <f t="shared" si="87"/>
        <v>0</v>
      </c>
      <c r="M110" s="230">
        <f t="shared" si="87"/>
        <v>0</v>
      </c>
      <c r="N110" s="230">
        <f t="shared" si="87"/>
        <v>0</v>
      </c>
      <c r="O110" s="230">
        <f t="shared" si="87"/>
        <v>0</v>
      </c>
      <c r="P110" s="230">
        <f t="shared" si="87"/>
        <v>0</v>
      </c>
      <c r="Q110" s="230">
        <f t="shared" si="87"/>
        <v>0</v>
      </c>
      <c r="R110" s="230">
        <f t="shared" si="87"/>
        <v>0</v>
      </c>
      <c r="S110" s="230">
        <f t="shared" si="87"/>
        <v>0</v>
      </c>
      <c r="T110" s="209">
        <f t="shared" si="46"/>
        <v>0</v>
      </c>
      <c r="U110" s="225">
        <v>39984</v>
      </c>
      <c r="V110" s="225"/>
      <c r="W110" s="231"/>
      <c r="X110" s="231"/>
      <c r="Y110" s="259"/>
      <c r="Z110" s="259"/>
      <c r="AA110" s="231"/>
      <c r="AB110" s="231"/>
      <c r="AC110" s="231"/>
      <c r="AD110" s="231"/>
      <c r="AE110" s="231"/>
      <c r="AF110" s="231"/>
      <c r="AG110" s="231"/>
      <c r="AH110" s="231"/>
      <c r="AI110" s="231"/>
      <c r="AJ110" s="231"/>
      <c r="AK110" s="231"/>
      <c r="AL110" s="231"/>
      <c r="AM110" s="232"/>
      <c r="AN110" s="225">
        <v>39984</v>
      </c>
      <c r="AO110" s="233">
        <f t="shared" si="26"/>
        <v>0</v>
      </c>
      <c r="AP110" s="231">
        <f t="shared" si="27"/>
        <v>0</v>
      </c>
      <c r="AQ110" s="231">
        <f t="shared" si="28"/>
        <v>0</v>
      </c>
      <c r="AR110" s="231">
        <f t="shared" si="29"/>
        <v>0</v>
      </c>
      <c r="AS110" s="231">
        <f t="shared" si="30"/>
        <v>0</v>
      </c>
      <c r="AT110" s="231">
        <f t="shared" si="31"/>
        <v>0</v>
      </c>
      <c r="AU110" s="231">
        <f t="shared" si="32"/>
        <v>0</v>
      </c>
      <c r="AV110" s="231">
        <f t="shared" si="33"/>
        <v>0</v>
      </c>
      <c r="AW110" s="231">
        <f t="shared" si="34"/>
        <v>0</v>
      </c>
      <c r="AX110" s="231">
        <f t="shared" si="35"/>
        <v>0</v>
      </c>
      <c r="AY110" s="231">
        <f t="shared" si="36"/>
        <v>0</v>
      </c>
      <c r="AZ110" s="231">
        <f t="shared" si="37"/>
        <v>0</v>
      </c>
      <c r="BA110" s="231">
        <f t="shared" si="38"/>
        <v>0</v>
      </c>
      <c r="BB110" s="231">
        <f t="shared" si="39"/>
        <v>0</v>
      </c>
      <c r="BC110" s="231">
        <f t="shared" si="40"/>
        <v>0</v>
      </c>
      <c r="BD110" s="231">
        <f t="shared" si="41"/>
        <v>0</v>
      </c>
      <c r="BE110" s="232">
        <f t="shared" si="42"/>
        <v>0</v>
      </c>
      <c r="BF110" s="225">
        <v>39984</v>
      </c>
      <c r="BG110" s="234">
        <f t="shared" si="48"/>
        <v>0</v>
      </c>
      <c r="BH110" s="235">
        <f t="shared" si="49"/>
        <v>0</v>
      </c>
      <c r="BI110" s="235">
        <f t="shared" si="50"/>
        <v>0</v>
      </c>
      <c r="BJ110" s="235">
        <f t="shared" si="51"/>
        <v>0</v>
      </c>
      <c r="BK110" s="235">
        <f t="shared" si="52"/>
        <v>0</v>
      </c>
      <c r="BL110" s="235">
        <f t="shared" si="53"/>
        <v>0</v>
      </c>
      <c r="BM110" s="235">
        <f t="shared" si="54"/>
        <v>0</v>
      </c>
      <c r="BN110" s="235">
        <f t="shared" si="55"/>
        <v>0</v>
      </c>
      <c r="BO110" s="235">
        <f t="shared" si="56"/>
        <v>0</v>
      </c>
      <c r="BP110" s="235">
        <f t="shared" si="57"/>
        <v>0</v>
      </c>
      <c r="BQ110" s="235">
        <f t="shared" si="58"/>
        <v>0</v>
      </c>
      <c r="BR110" s="235">
        <f t="shared" si="59"/>
        <v>0</v>
      </c>
      <c r="BS110" s="235">
        <f t="shared" si="60"/>
        <v>0</v>
      </c>
      <c r="BT110" s="235">
        <f t="shared" si="61"/>
        <v>0</v>
      </c>
      <c r="BU110" s="235">
        <f t="shared" si="62"/>
        <v>0</v>
      </c>
      <c r="BV110" s="235">
        <f t="shared" si="63"/>
        <v>0</v>
      </c>
      <c r="BW110" s="236">
        <f t="shared" si="64"/>
        <v>0</v>
      </c>
    </row>
    <row r="111" spans="1:75">
      <c r="A111" s="225">
        <v>40014</v>
      </c>
      <c r="B111" s="237"/>
      <c r="C111" s="230">
        <f t="shared" ref="C111:S111" si="88">ROUND((C28-C29),2)</f>
        <v>0</v>
      </c>
      <c r="D111" s="230">
        <f t="shared" si="88"/>
        <v>0</v>
      </c>
      <c r="E111" s="230">
        <f t="shared" si="88"/>
        <v>0</v>
      </c>
      <c r="F111" s="230">
        <f t="shared" si="88"/>
        <v>0</v>
      </c>
      <c r="G111" s="230">
        <f t="shared" si="88"/>
        <v>0</v>
      </c>
      <c r="H111" s="230">
        <f t="shared" si="88"/>
        <v>0</v>
      </c>
      <c r="I111" s="230">
        <f t="shared" si="88"/>
        <v>0</v>
      </c>
      <c r="J111" s="230">
        <f t="shared" si="88"/>
        <v>0</v>
      </c>
      <c r="K111" s="230">
        <f t="shared" si="88"/>
        <v>0</v>
      </c>
      <c r="L111" s="230">
        <f t="shared" si="88"/>
        <v>0</v>
      </c>
      <c r="M111" s="230">
        <f t="shared" si="88"/>
        <v>0</v>
      </c>
      <c r="N111" s="230">
        <f t="shared" si="88"/>
        <v>0</v>
      </c>
      <c r="O111" s="230">
        <f t="shared" si="88"/>
        <v>0</v>
      </c>
      <c r="P111" s="230">
        <f t="shared" si="88"/>
        <v>0</v>
      </c>
      <c r="Q111" s="230">
        <f t="shared" si="88"/>
        <v>0</v>
      </c>
      <c r="R111" s="230">
        <f t="shared" si="88"/>
        <v>0</v>
      </c>
      <c r="S111" s="230">
        <f t="shared" si="88"/>
        <v>0</v>
      </c>
      <c r="T111" s="209">
        <f t="shared" si="46"/>
        <v>0</v>
      </c>
      <c r="U111" s="225">
        <v>40014</v>
      </c>
      <c r="V111" s="225"/>
      <c r="W111" s="231"/>
      <c r="X111" s="231"/>
      <c r="Y111" s="259"/>
      <c r="Z111" s="259"/>
      <c r="AA111" s="259"/>
      <c r="AB111" s="259"/>
      <c r="AC111" s="259"/>
      <c r="AD111" s="259"/>
      <c r="AE111" s="259"/>
      <c r="AF111" s="259"/>
      <c r="AG111" s="259"/>
      <c r="AH111" s="259"/>
      <c r="AI111" s="259"/>
      <c r="AJ111" s="259"/>
      <c r="AK111" s="259"/>
      <c r="AL111" s="259"/>
      <c r="AM111" s="232"/>
      <c r="AN111" s="225">
        <v>40014</v>
      </c>
      <c r="AO111" s="233">
        <f t="shared" si="26"/>
        <v>0</v>
      </c>
      <c r="AP111" s="231">
        <f t="shared" si="27"/>
        <v>0</v>
      </c>
      <c r="AQ111" s="231">
        <f t="shared" si="28"/>
        <v>0</v>
      </c>
      <c r="AR111" s="231">
        <f t="shared" si="29"/>
        <v>0</v>
      </c>
      <c r="AS111" s="231">
        <f t="shared" si="30"/>
        <v>0</v>
      </c>
      <c r="AT111" s="231">
        <f t="shared" si="31"/>
        <v>0</v>
      </c>
      <c r="AU111" s="231">
        <f t="shared" si="32"/>
        <v>0</v>
      </c>
      <c r="AV111" s="231">
        <f t="shared" si="33"/>
        <v>0</v>
      </c>
      <c r="AW111" s="231">
        <f t="shared" si="34"/>
        <v>0</v>
      </c>
      <c r="AX111" s="231">
        <f t="shared" si="35"/>
        <v>0</v>
      </c>
      <c r="AY111" s="231">
        <f t="shared" si="36"/>
        <v>0</v>
      </c>
      <c r="AZ111" s="231">
        <f t="shared" si="37"/>
        <v>0</v>
      </c>
      <c r="BA111" s="231">
        <f t="shared" si="38"/>
        <v>0</v>
      </c>
      <c r="BB111" s="231">
        <f t="shared" si="39"/>
        <v>0</v>
      </c>
      <c r="BC111" s="231">
        <f t="shared" si="40"/>
        <v>0</v>
      </c>
      <c r="BD111" s="231">
        <f t="shared" si="41"/>
        <v>0</v>
      </c>
      <c r="BE111" s="232">
        <f t="shared" si="42"/>
        <v>0</v>
      </c>
      <c r="BF111" s="225">
        <v>40014</v>
      </c>
      <c r="BG111" s="234">
        <f t="shared" si="48"/>
        <v>0</v>
      </c>
      <c r="BH111" s="235">
        <f t="shared" si="49"/>
        <v>0</v>
      </c>
      <c r="BI111" s="235">
        <f t="shared" si="50"/>
        <v>0</v>
      </c>
      <c r="BJ111" s="235">
        <f t="shared" si="51"/>
        <v>0</v>
      </c>
      <c r="BK111" s="235">
        <f t="shared" si="52"/>
        <v>0</v>
      </c>
      <c r="BL111" s="235">
        <f t="shared" si="53"/>
        <v>0</v>
      </c>
      <c r="BM111" s="235">
        <f t="shared" si="54"/>
        <v>0</v>
      </c>
      <c r="BN111" s="235">
        <f t="shared" si="55"/>
        <v>0</v>
      </c>
      <c r="BO111" s="235">
        <f t="shared" si="56"/>
        <v>0</v>
      </c>
      <c r="BP111" s="235">
        <f t="shared" si="57"/>
        <v>0</v>
      </c>
      <c r="BQ111" s="235">
        <f t="shared" si="58"/>
        <v>0</v>
      </c>
      <c r="BR111" s="235">
        <f t="shared" si="59"/>
        <v>0</v>
      </c>
      <c r="BS111" s="235">
        <f t="shared" si="60"/>
        <v>0</v>
      </c>
      <c r="BT111" s="235">
        <f t="shared" si="61"/>
        <v>0</v>
      </c>
      <c r="BU111" s="235">
        <f t="shared" si="62"/>
        <v>0</v>
      </c>
      <c r="BV111" s="235">
        <f t="shared" si="63"/>
        <v>0</v>
      </c>
      <c r="BW111" s="236">
        <f t="shared" si="64"/>
        <v>0</v>
      </c>
    </row>
    <row r="112" spans="1:75" s="640" customFormat="1">
      <c r="A112" s="225">
        <v>40045</v>
      </c>
      <c r="B112" s="213"/>
      <c r="C112" s="230">
        <f t="shared" ref="C112:S112" si="89">ROUND((C29-C30),2)</f>
        <v>0</v>
      </c>
      <c r="D112" s="230">
        <f t="shared" si="89"/>
        <v>0</v>
      </c>
      <c r="E112" s="230">
        <f t="shared" si="89"/>
        <v>0</v>
      </c>
      <c r="F112" s="230">
        <f t="shared" si="89"/>
        <v>157765634.36000001</v>
      </c>
      <c r="G112" s="230">
        <f t="shared" si="89"/>
        <v>58648190.619999997</v>
      </c>
      <c r="H112" s="230">
        <f t="shared" si="89"/>
        <v>0</v>
      </c>
      <c r="I112" s="230">
        <f t="shared" si="89"/>
        <v>0</v>
      </c>
      <c r="J112" s="230">
        <f t="shared" si="89"/>
        <v>0</v>
      </c>
      <c r="K112" s="230">
        <f t="shared" si="89"/>
        <v>0</v>
      </c>
      <c r="L112" s="230">
        <f t="shared" si="89"/>
        <v>0</v>
      </c>
      <c r="M112" s="230">
        <f t="shared" si="89"/>
        <v>0</v>
      </c>
      <c r="N112" s="230">
        <f t="shared" si="89"/>
        <v>0</v>
      </c>
      <c r="O112" s="230">
        <f t="shared" si="89"/>
        <v>0</v>
      </c>
      <c r="P112" s="230">
        <f t="shared" si="89"/>
        <v>0</v>
      </c>
      <c r="Q112" s="230">
        <f t="shared" si="89"/>
        <v>0</v>
      </c>
      <c r="R112" s="230">
        <f t="shared" si="89"/>
        <v>0</v>
      </c>
      <c r="S112" s="230">
        <f t="shared" si="89"/>
        <v>0</v>
      </c>
      <c r="T112" s="641">
        <f t="shared" si="46"/>
        <v>216413824.98000002</v>
      </c>
      <c r="U112" s="225">
        <v>40045</v>
      </c>
      <c r="V112" s="372">
        <v>0</v>
      </c>
      <c r="W112" s="638">
        <v>0</v>
      </c>
      <c r="X112" s="638">
        <v>0</v>
      </c>
      <c r="Y112" s="364">
        <v>157765634.36000001</v>
      </c>
      <c r="Z112" s="364">
        <v>58648190.619999997</v>
      </c>
      <c r="AA112" s="638">
        <v>0</v>
      </c>
      <c r="AB112" s="638">
        <v>0</v>
      </c>
      <c r="AC112" s="638">
        <v>0</v>
      </c>
      <c r="AD112" s="638">
        <v>0</v>
      </c>
      <c r="AE112" s="638">
        <v>0</v>
      </c>
      <c r="AF112" s="638">
        <v>0</v>
      </c>
      <c r="AG112" s="638"/>
      <c r="AH112" s="638">
        <v>0</v>
      </c>
      <c r="AI112" s="638">
        <v>0</v>
      </c>
      <c r="AJ112" s="638">
        <v>0</v>
      </c>
      <c r="AK112" s="638"/>
      <c r="AL112" s="638">
        <v>0</v>
      </c>
      <c r="AM112" s="636"/>
      <c r="AN112" s="225">
        <v>40045</v>
      </c>
      <c r="AO112" s="637">
        <f t="shared" si="26"/>
        <v>0</v>
      </c>
      <c r="AP112" s="635">
        <f t="shared" si="27"/>
        <v>0</v>
      </c>
      <c r="AQ112" s="635">
        <f t="shared" si="28"/>
        <v>0</v>
      </c>
      <c r="AR112" s="635">
        <f t="shared" si="29"/>
        <v>0</v>
      </c>
      <c r="AS112" s="635">
        <f t="shared" si="30"/>
        <v>0</v>
      </c>
      <c r="AT112" s="635">
        <f t="shared" si="31"/>
        <v>0</v>
      </c>
      <c r="AU112" s="635">
        <f t="shared" si="32"/>
        <v>0</v>
      </c>
      <c r="AV112" s="635">
        <f t="shared" si="33"/>
        <v>0</v>
      </c>
      <c r="AW112" s="635">
        <f t="shared" si="34"/>
        <v>0</v>
      </c>
      <c r="AX112" s="635">
        <f t="shared" si="35"/>
        <v>0</v>
      </c>
      <c r="AY112" s="635">
        <f t="shared" si="36"/>
        <v>0</v>
      </c>
      <c r="AZ112" s="635">
        <f t="shared" si="37"/>
        <v>0</v>
      </c>
      <c r="BA112" s="635">
        <f t="shared" si="38"/>
        <v>0</v>
      </c>
      <c r="BB112" s="635">
        <f t="shared" si="39"/>
        <v>0</v>
      </c>
      <c r="BC112" s="635">
        <f t="shared" si="40"/>
        <v>0</v>
      </c>
      <c r="BD112" s="635">
        <f t="shared" si="41"/>
        <v>0</v>
      </c>
      <c r="BE112" s="636">
        <f t="shared" si="42"/>
        <v>0</v>
      </c>
      <c r="BF112" s="225">
        <v>40045</v>
      </c>
      <c r="BG112" s="642">
        <f t="shared" si="48"/>
        <v>0</v>
      </c>
      <c r="BH112" s="643">
        <f t="shared" si="49"/>
        <v>0</v>
      </c>
      <c r="BI112" s="643">
        <f t="shared" si="50"/>
        <v>0</v>
      </c>
      <c r="BJ112" s="643">
        <f t="shared" si="51"/>
        <v>0</v>
      </c>
      <c r="BK112" s="643">
        <f t="shared" si="52"/>
        <v>0</v>
      </c>
      <c r="BL112" s="643">
        <f t="shared" si="53"/>
        <v>0</v>
      </c>
      <c r="BM112" s="643">
        <f t="shared" si="54"/>
        <v>0</v>
      </c>
      <c r="BN112" s="643">
        <f t="shared" si="55"/>
        <v>0</v>
      </c>
      <c r="BO112" s="643">
        <f t="shared" si="56"/>
        <v>0</v>
      </c>
      <c r="BP112" s="643">
        <f t="shared" si="57"/>
        <v>0</v>
      </c>
      <c r="BQ112" s="643">
        <f t="shared" si="58"/>
        <v>0</v>
      </c>
      <c r="BR112" s="643">
        <f t="shared" si="59"/>
        <v>0</v>
      </c>
      <c r="BS112" s="643">
        <f t="shared" si="60"/>
        <v>0</v>
      </c>
      <c r="BT112" s="643">
        <f t="shared" si="61"/>
        <v>0</v>
      </c>
      <c r="BU112" s="643">
        <f t="shared" si="62"/>
        <v>0</v>
      </c>
      <c r="BV112" s="643">
        <f t="shared" si="63"/>
        <v>0</v>
      </c>
      <c r="BW112" s="644">
        <f t="shared" si="64"/>
        <v>0</v>
      </c>
    </row>
    <row r="113" spans="1:75">
      <c r="A113" s="225">
        <v>40076</v>
      </c>
      <c r="B113" s="237"/>
      <c r="C113" s="230">
        <f t="shared" ref="C113:S113" si="90">ROUND((C30-C31),2)</f>
        <v>0</v>
      </c>
      <c r="D113" s="230">
        <f t="shared" si="90"/>
        <v>0</v>
      </c>
      <c r="E113" s="230">
        <f t="shared" si="90"/>
        <v>0</v>
      </c>
      <c r="F113" s="230">
        <f t="shared" si="90"/>
        <v>0</v>
      </c>
      <c r="G113" s="230">
        <f t="shared" si="90"/>
        <v>0</v>
      </c>
      <c r="H113" s="230">
        <f t="shared" si="90"/>
        <v>0</v>
      </c>
      <c r="I113" s="230">
        <f t="shared" si="90"/>
        <v>0</v>
      </c>
      <c r="J113" s="230">
        <f t="shared" si="90"/>
        <v>0</v>
      </c>
      <c r="K113" s="230">
        <f t="shared" si="90"/>
        <v>0</v>
      </c>
      <c r="L113" s="230">
        <f t="shared" si="90"/>
        <v>0</v>
      </c>
      <c r="M113" s="230">
        <f t="shared" si="90"/>
        <v>0</v>
      </c>
      <c r="N113" s="230">
        <f t="shared" si="90"/>
        <v>0</v>
      </c>
      <c r="O113" s="230">
        <f t="shared" si="90"/>
        <v>0</v>
      </c>
      <c r="P113" s="230">
        <f t="shared" si="90"/>
        <v>0</v>
      </c>
      <c r="Q113" s="230">
        <f t="shared" si="90"/>
        <v>0</v>
      </c>
      <c r="R113" s="230">
        <f t="shared" si="90"/>
        <v>0</v>
      </c>
      <c r="S113" s="230">
        <f t="shared" si="90"/>
        <v>0</v>
      </c>
      <c r="T113" s="209">
        <f t="shared" si="46"/>
        <v>0</v>
      </c>
      <c r="U113" s="225">
        <v>40076</v>
      </c>
      <c r="V113" s="225"/>
      <c r="W113" s="231"/>
      <c r="X113" s="231"/>
      <c r="Y113" s="259"/>
      <c r="Z113" s="259"/>
      <c r="AA113" s="231"/>
      <c r="AB113" s="231"/>
      <c r="AC113" s="231"/>
      <c r="AD113" s="231"/>
      <c r="AE113" s="231"/>
      <c r="AF113" s="231"/>
      <c r="AG113" s="231"/>
      <c r="AH113" s="231"/>
      <c r="AI113" s="231"/>
      <c r="AJ113" s="231"/>
      <c r="AK113" s="231"/>
      <c r="AL113" s="231"/>
      <c r="AM113" s="232"/>
      <c r="AN113" s="225">
        <v>40076</v>
      </c>
      <c r="AO113" s="233">
        <f t="shared" si="26"/>
        <v>0</v>
      </c>
      <c r="AP113" s="231">
        <f t="shared" si="27"/>
        <v>0</v>
      </c>
      <c r="AQ113" s="231">
        <f t="shared" si="28"/>
        <v>0</v>
      </c>
      <c r="AR113" s="231">
        <f t="shared" si="29"/>
        <v>0</v>
      </c>
      <c r="AS113" s="231">
        <f t="shared" si="30"/>
        <v>0</v>
      </c>
      <c r="AT113" s="231">
        <f t="shared" si="31"/>
        <v>0</v>
      </c>
      <c r="AU113" s="231">
        <f t="shared" si="32"/>
        <v>0</v>
      </c>
      <c r="AV113" s="231">
        <f t="shared" si="33"/>
        <v>0</v>
      </c>
      <c r="AW113" s="231">
        <f t="shared" si="34"/>
        <v>0</v>
      </c>
      <c r="AX113" s="231">
        <f t="shared" si="35"/>
        <v>0</v>
      </c>
      <c r="AY113" s="231">
        <f t="shared" si="36"/>
        <v>0</v>
      </c>
      <c r="AZ113" s="231">
        <f t="shared" si="37"/>
        <v>0</v>
      </c>
      <c r="BA113" s="231">
        <f t="shared" si="38"/>
        <v>0</v>
      </c>
      <c r="BB113" s="231">
        <f t="shared" si="39"/>
        <v>0</v>
      </c>
      <c r="BC113" s="231">
        <f t="shared" si="40"/>
        <v>0</v>
      </c>
      <c r="BD113" s="231">
        <f t="shared" si="41"/>
        <v>0</v>
      </c>
      <c r="BE113" s="232">
        <f t="shared" si="42"/>
        <v>0</v>
      </c>
      <c r="BF113" s="225">
        <v>40076</v>
      </c>
      <c r="BG113" s="234">
        <f t="shared" si="48"/>
        <v>0</v>
      </c>
      <c r="BH113" s="235">
        <f t="shared" si="49"/>
        <v>0</v>
      </c>
      <c r="BI113" s="235">
        <f t="shared" si="50"/>
        <v>0</v>
      </c>
      <c r="BJ113" s="235">
        <f t="shared" si="51"/>
        <v>0</v>
      </c>
      <c r="BK113" s="235">
        <f t="shared" si="52"/>
        <v>0</v>
      </c>
      <c r="BL113" s="235">
        <f t="shared" si="53"/>
        <v>0</v>
      </c>
      <c r="BM113" s="235">
        <f t="shared" si="54"/>
        <v>0</v>
      </c>
      <c r="BN113" s="235">
        <f t="shared" si="55"/>
        <v>0</v>
      </c>
      <c r="BO113" s="235">
        <f t="shared" si="56"/>
        <v>0</v>
      </c>
      <c r="BP113" s="235">
        <f t="shared" si="57"/>
        <v>0</v>
      </c>
      <c r="BQ113" s="235">
        <f t="shared" si="58"/>
        <v>0</v>
      </c>
      <c r="BR113" s="235">
        <f t="shared" si="59"/>
        <v>0</v>
      </c>
      <c r="BS113" s="235">
        <f t="shared" si="60"/>
        <v>0</v>
      </c>
      <c r="BT113" s="235">
        <f t="shared" si="61"/>
        <v>0</v>
      </c>
      <c r="BU113" s="235">
        <f t="shared" si="62"/>
        <v>0</v>
      </c>
      <c r="BV113" s="235">
        <f t="shared" si="63"/>
        <v>0</v>
      </c>
      <c r="BW113" s="236">
        <f t="shared" si="64"/>
        <v>0</v>
      </c>
    </row>
    <row r="114" spans="1:75">
      <c r="A114" s="225">
        <v>40106</v>
      </c>
      <c r="B114" s="237"/>
      <c r="C114" s="230">
        <f t="shared" ref="C114:S114" si="91">ROUND((C31-C32),2)</f>
        <v>0</v>
      </c>
      <c r="D114" s="230">
        <f t="shared" si="91"/>
        <v>0</v>
      </c>
      <c r="E114" s="230">
        <f t="shared" si="91"/>
        <v>0</v>
      </c>
      <c r="F114" s="230">
        <f t="shared" si="91"/>
        <v>0</v>
      </c>
      <c r="G114" s="230">
        <f t="shared" si="91"/>
        <v>0</v>
      </c>
      <c r="H114" s="230">
        <f t="shared" si="91"/>
        <v>0</v>
      </c>
      <c r="I114" s="230">
        <f t="shared" si="91"/>
        <v>0</v>
      </c>
      <c r="J114" s="230">
        <f t="shared" si="91"/>
        <v>0</v>
      </c>
      <c r="K114" s="230">
        <f t="shared" si="91"/>
        <v>0</v>
      </c>
      <c r="L114" s="230">
        <f t="shared" si="91"/>
        <v>0</v>
      </c>
      <c r="M114" s="230">
        <f t="shared" si="91"/>
        <v>0</v>
      </c>
      <c r="N114" s="230">
        <f t="shared" si="91"/>
        <v>0</v>
      </c>
      <c r="O114" s="230">
        <f t="shared" si="91"/>
        <v>0</v>
      </c>
      <c r="P114" s="230">
        <f t="shared" si="91"/>
        <v>0</v>
      </c>
      <c r="Q114" s="230">
        <f t="shared" si="91"/>
        <v>0</v>
      </c>
      <c r="R114" s="230">
        <f t="shared" si="91"/>
        <v>0</v>
      </c>
      <c r="S114" s="230">
        <f t="shared" si="91"/>
        <v>0</v>
      </c>
      <c r="T114" s="209">
        <f t="shared" si="46"/>
        <v>0</v>
      </c>
      <c r="U114" s="225">
        <v>40106</v>
      </c>
      <c r="V114" s="225"/>
      <c r="W114" s="231"/>
      <c r="X114" s="231"/>
      <c r="Y114" s="259"/>
      <c r="Z114" s="259"/>
      <c r="AA114" s="231"/>
      <c r="AB114" s="231"/>
      <c r="AC114" s="231"/>
      <c r="AD114" s="231"/>
      <c r="AE114" s="231"/>
      <c r="AF114" s="231"/>
      <c r="AG114" s="231"/>
      <c r="AH114" s="231"/>
      <c r="AI114" s="231"/>
      <c r="AJ114" s="231"/>
      <c r="AK114" s="231"/>
      <c r="AL114" s="231"/>
      <c r="AM114" s="232"/>
      <c r="AN114" s="225">
        <v>40106</v>
      </c>
      <c r="AO114" s="233">
        <f t="shared" si="26"/>
        <v>0</v>
      </c>
      <c r="AP114" s="231">
        <f t="shared" si="27"/>
        <v>0</v>
      </c>
      <c r="AQ114" s="231">
        <f t="shared" si="28"/>
        <v>0</v>
      </c>
      <c r="AR114" s="231">
        <f t="shared" si="29"/>
        <v>0</v>
      </c>
      <c r="AS114" s="231">
        <f t="shared" si="30"/>
        <v>0</v>
      </c>
      <c r="AT114" s="231">
        <f t="shared" si="31"/>
        <v>0</v>
      </c>
      <c r="AU114" s="231">
        <f t="shared" si="32"/>
        <v>0</v>
      </c>
      <c r="AV114" s="231">
        <f t="shared" si="33"/>
        <v>0</v>
      </c>
      <c r="AW114" s="231">
        <f t="shared" si="34"/>
        <v>0</v>
      </c>
      <c r="AX114" s="231">
        <f t="shared" si="35"/>
        <v>0</v>
      </c>
      <c r="AY114" s="231">
        <f t="shared" si="36"/>
        <v>0</v>
      </c>
      <c r="AZ114" s="231">
        <f t="shared" si="37"/>
        <v>0</v>
      </c>
      <c r="BA114" s="231">
        <f t="shared" si="38"/>
        <v>0</v>
      </c>
      <c r="BB114" s="231">
        <f t="shared" si="39"/>
        <v>0</v>
      </c>
      <c r="BC114" s="231">
        <f t="shared" si="40"/>
        <v>0</v>
      </c>
      <c r="BD114" s="231">
        <f t="shared" si="41"/>
        <v>0</v>
      </c>
      <c r="BE114" s="232">
        <f t="shared" si="42"/>
        <v>0</v>
      </c>
      <c r="BF114" s="225">
        <v>40106</v>
      </c>
      <c r="BG114" s="234">
        <f t="shared" si="48"/>
        <v>0</v>
      </c>
      <c r="BH114" s="235">
        <f t="shared" si="49"/>
        <v>0</v>
      </c>
      <c r="BI114" s="235">
        <f t="shared" si="50"/>
        <v>0</v>
      </c>
      <c r="BJ114" s="235">
        <f t="shared" si="51"/>
        <v>0</v>
      </c>
      <c r="BK114" s="235">
        <f t="shared" si="52"/>
        <v>0</v>
      </c>
      <c r="BL114" s="235">
        <f t="shared" si="53"/>
        <v>0</v>
      </c>
      <c r="BM114" s="235">
        <f t="shared" si="54"/>
        <v>0</v>
      </c>
      <c r="BN114" s="235">
        <f t="shared" si="55"/>
        <v>0</v>
      </c>
      <c r="BO114" s="235">
        <f t="shared" si="56"/>
        <v>0</v>
      </c>
      <c r="BP114" s="235">
        <f t="shared" si="57"/>
        <v>0</v>
      </c>
      <c r="BQ114" s="235">
        <f t="shared" si="58"/>
        <v>0</v>
      </c>
      <c r="BR114" s="235">
        <f t="shared" si="59"/>
        <v>0</v>
      </c>
      <c r="BS114" s="235">
        <f t="shared" si="60"/>
        <v>0</v>
      </c>
      <c r="BT114" s="235">
        <f t="shared" si="61"/>
        <v>0</v>
      </c>
      <c r="BU114" s="235">
        <f t="shared" si="62"/>
        <v>0</v>
      </c>
      <c r="BV114" s="235">
        <f t="shared" si="63"/>
        <v>0</v>
      </c>
      <c r="BW114" s="236">
        <f t="shared" si="64"/>
        <v>0</v>
      </c>
    </row>
    <row r="115" spans="1:75" s="587" customFormat="1">
      <c r="A115" s="580">
        <v>40137</v>
      </c>
      <c r="B115" s="590"/>
      <c r="C115" s="577">
        <f t="shared" ref="C115:S115" si="92">ROUND((C32-C33),2)</f>
        <v>0</v>
      </c>
      <c r="D115" s="577">
        <f t="shared" si="92"/>
        <v>0</v>
      </c>
      <c r="E115" s="577">
        <f t="shared" si="92"/>
        <v>0</v>
      </c>
      <c r="F115" s="577">
        <f t="shared" si="92"/>
        <v>149205524.88999999</v>
      </c>
      <c r="G115" s="577">
        <f t="shared" si="92"/>
        <v>55466034.170000002</v>
      </c>
      <c r="H115" s="577">
        <f t="shared" si="92"/>
        <v>0</v>
      </c>
      <c r="I115" s="577">
        <f t="shared" si="92"/>
        <v>0</v>
      </c>
      <c r="J115" s="577">
        <f t="shared" si="92"/>
        <v>0</v>
      </c>
      <c r="K115" s="577">
        <f t="shared" si="92"/>
        <v>0</v>
      </c>
      <c r="L115" s="577">
        <f t="shared" si="92"/>
        <v>0</v>
      </c>
      <c r="M115" s="577">
        <f t="shared" si="92"/>
        <v>0</v>
      </c>
      <c r="N115" s="577">
        <f t="shared" si="92"/>
        <v>0</v>
      </c>
      <c r="O115" s="577">
        <f t="shared" si="92"/>
        <v>0</v>
      </c>
      <c r="P115" s="577">
        <f t="shared" si="92"/>
        <v>0</v>
      </c>
      <c r="Q115" s="577">
        <f t="shared" si="92"/>
        <v>0</v>
      </c>
      <c r="R115" s="577">
        <f t="shared" si="92"/>
        <v>0</v>
      </c>
      <c r="S115" s="577">
        <f t="shared" si="92"/>
        <v>0</v>
      </c>
      <c r="T115" s="591">
        <f t="shared" si="46"/>
        <v>204671559.06</v>
      </c>
      <c r="U115" s="580">
        <v>40137</v>
      </c>
      <c r="V115" s="580"/>
      <c r="W115" s="581"/>
      <c r="X115" s="581"/>
      <c r="Y115" s="684">
        <v>149205524.88999999</v>
      </c>
      <c r="Z115" s="684">
        <v>55466034.170000002</v>
      </c>
      <c r="AA115" s="581"/>
      <c r="AB115" s="581"/>
      <c r="AC115" s="581"/>
      <c r="AD115" s="581"/>
      <c r="AE115" s="581"/>
      <c r="AF115" s="581"/>
      <c r="AG115" s="581"/>
      <c r="AH115" s="581"/>
      <c r="AI115" s="581"/>
      <c r="AJ115" s="581"/>
      <c r="AK115" s="581"/>
      <c r="AL115" s="581"/>
      <c r="AM115" s="582"/>
      <c r="AN115" s="580">
        <v>40137</v>
      </c>
      <c r="AO115" s="583">
        <f t="shared" si="26"/>
        <v>0</v>
      </c>
      <c r="AP115" s="581">
        <f t="shared" si="27"/>
        <v>0</v>
      </c>
      <c r="AQ115" s="581">
        <f t="shared" si="28"/>
        <v>0</v>
      </c>
      <c r="AR115" s="581">
        <f t="shared" si="29"/>
        <v>0</v>
      </c>
      <c r="AS115" s="581">
        <f t="shared" si="30"/>
        <v>0</v>
      </c>
      <c r="AT115" s="581">
        <f t="shared" si="31"/>
        <v>0</v>
      </c>
      <c r="AU115" s="581">
        <f t="shared" si="32"/>
        <v>0</v>
      </c>
      <c r="AV115" s="581">
        <f t="shared" si="33"/>
        <v>0</v>
      </c>
      <c r="AW115" s="581">
        <f t="shared" si="34"/>
        <v>0</v>
      </c>
      <c r="AX115" s="581">
        <f t="shared" si="35"/>
        <v>0</v>
      </c>
      <c r="AY115" s="581">
        <f t="shared" si="36"/>
        <v>0</v>
      </c>
      <c r="AZ115" s="581">
        <f t="shared" si="37"/>
        <v>0</v>
      </c>
      <c r="BA115" s="581">
        <f t="shared" si="38"/>
        <v>0</v>
      </c>
      <c r="BB115" s="581">
        <f t="shared" si="39"/>
        <v>0</v>
      </c>
      <c r="BC115" s="581">
        <f t="shared" si="40"/>
        <v>0</v>
      </c>
      <c r="BD115" s="581">
        <f t="shared" si="41"/>
        <v>0</v>
      </c>
      <c r="BE115" s="582">
        <f t="shared" si="42"/>
        <v>0</v>
      </c>
      <c r="BF115" s="580">
        <v>40137</v>
      </c>
      <c r="BG115" s="592">
        <f t="shared" si="48"/>
        <v>0</v>
      </c>
      <c r="BH115" s="593">
        <f t="shared" si="49"/>
        <v>0</v>
      </c>
      <c r="BI115" s="593">
        <f t="shared" si="50"/>
        <v>0</v>
      </c>
      <c r="BJ115" s="593">
        <f t="shared" si="51"/>
        <v>0</v>
      </c>
      <c r="BK115" s="593">
        <f t="shared" si="52"/>
        <v>0</v>
      </c>
      <c r="BL115" s="593">
        <f t="shared" si="53"/>
        <v>0</v>
      </c>
      <c r="BM115" s="593">
        <f t="shared" si="54"/>
        <v>0</v>
      </c>
      <c r="BN115" s="593">
        <f t="shared" si="55"/>
        <v>0</v>
      </c>
      <c r="BO115" s="593">
        <f t="shared" si="56"/>
        <v>0</v>
      </c>
      <c r="BP115" s="593">
        <f t="shared" si="57"/>
        <v>0</v>
      </c>
      <c r="BQ115" s="593">
        <f t="shared" si="58"/>
        <v>0</v>
      </c>
      <c r="BR115" s="593">
        <f t="shared" si="59"/>
        <v>0</v>
      </c>
      <c r="BS115" s="593">
        <f t="shared" si="60"/>
        <v>0</v>
      </c>
      <c r="BT115" s="593">
        <f t="shared" si="61"/>
        <v>0</v>
      </c>
      <c r="BU115" s="593">
        <f t="shared" si="62"/>
        <v>0</v>
      </c>
      <c r="BV115" s="593">
        <f t="shared" si="63"/>
        <v>0</v>
      </c>
      <c r="BW115" s="594">
        <f t="shared" si="64"/>
        <v>0</v>
      </c>
    </row>
    <row r="116" spans="1:75">
      <c r="A116" s="225">
        <v>40167</v>
      </c>
      <c r="B116" s="237"/>
      <c r="C116" s="230">
        <f t="shared" ref="C116:S116" si="93">ROUND((C33-C34),2)</f>
        <v>0</v>
      </c>
      <c r="D116" s="230">
        <f t="shared" si="93"/>
        <v>0</v>
      </c>
      <c r="E116" s="230">
        <f t="shared" si="93"/>
        <v>0</v>
      </c>
      <c r="F116" s="230">
        <f t="shared" si="93"/>
        <v>0</v>
      </c>
      <c r="G116" s="230">
        <f t="shared" si="93"/>
        <v>0</v>
      </c>
      <c r="H116" s="230">
        <f t="shared" si="93"/>
        <v>0</v>
      </c>
      <c r="I116" s="230">
        <f t="shared" si="93"/>
        <v>0</v>
      </c>
      <c r="J116" s="230">
        <f t="shared" si="93"/>
        <v>0</v>
      </c>
      <c r="K116" s="230">
        <f t="shared" si="93"/>
        <v>0</v>
      </c>
      <c r="L116" s="230">
        <f t="shared" si="93"/>
        <v>0</v>
      </c>
      <c r="M116" s="230">
        <f t="shared" si="93"/>
        <v>0</v>
      </c>
      <c r="N116" s="230">
        <f t="shared" si="93"/>
        <v>0</v>
      </c>
      <c r="O116" s="230">
        <f t="shared" si="93"/>
        <v>0</v>
      </c>
      <c r="P116" s="230">
        <f t="shared" si="93"/>
        <v>0</v>
      </c>
      <c r="Q116" s="230">
        <f t="shared" si="93"/>
        <v>0</v>
      </c>
      <c r="R116" s="230">
        <f t="shared" si="93"/>
        <v>0</v>
      </c>
      <c r="S116" s="230">
        <f t="shared" si="93"/>
        <v>0</v>
      </c>
      <c r="T116" s="209">
        <f t="shared" si="46"/>
        <v>0</v>
      </c>
      <c r="U116" s="225">
        <v>40167</v>
      </c>
      <c r="V116" s="225"/>
      <c r="W116" s="231"/>
      <c r="X116" s="231"/>
      <c r="Y116" s="259"/>
      <c r="Z116" s="259"/>
      <c r="AA116" s="231"/>
      <c r="AB116" s="231"/>
      <c r="AC116" s="231"/>
      <c r="AD116" s="231"/>
      <c r="AE116" s="231"/>
      <c r="AF116" s="231"/>
      <c r="AG116" s="231"/>
      <c r="AH116" s="231"/>
      <c r="AI116" s="231"/>
      <c r="AJ116" s="231"/>
      <c r="AK116" s="231"/>
      <c r="AL116" s="231"/>
      <c r="AM116" s="232"/>
      <c r="AN116" s="225">
        <v>40167</v>
      </c>
      <c r="AO116" s="233">
        <f t="shared" si="26"/>
        <v>0</v>
      </c>
      <c r="AP116" s="231">
        <f t="shared" si="27"/>
        <v>0</v>
      </c>
      <c r="AQ116" s="231">
        <f t="shared" si="28"/>
        <v>0</v>
      </c>
      <c r="AR116" s="231">
        <f t="shared" si="29"/>
        <v>0</v>
      </c>
      <c r="AS116" s="231">
        <f t="shared" si="30"/>
        <v>0</v>
      </c>
      <c r="AT116" s="231">
        <f t="shared" si="31"/>
        <v>0</v>
      </c>
      <c r="AU116" s="231">
        <f t="shared" si="32"/>
        <v>0</v>
      </c>
      <c r="AV116" s="231">
        <f t="shared" si="33"/>
        <v>0</v>
      </c>
      <c r="AW116" s="231">
        <f t="shared" si="34"/>
        <v>0</v>
      </c>
      <c r="AX116" s="231">
        <f t="shared" si="35"/>
        <v>0</v>
      </c>
      <c r="AY116" s="231">
        <f t="shared" si="36"/>
        <v>0</v>
      </c>
      <c r="AZ116" s="231">
        <f t="shared" si="37"/>
        <v>0</v>
      </c>
      <c r="BA116" s="231">
        <f t="shared" si="38"/>
        <v>0</v>
      </c>
      <c r="BB116" s="231">
        <f t="shared" si="39"/>
        <v>0</v>
      </c>
      <c r="BC116" s="231">
        <f t="shared" si="40"/>
        <v>0</v>
      </c>
      <c r="BD116" s="231">
        <f t="shared" si="41"/>
        <v>0</v>
      </c>
      <c r="BE116" s="232">
        <f t="shared" si="42"/>
        <v>0</v>
      </c>
      <c r="BF116" s="225">
        <v>40167</v>
      </c>
      <c r="BG116" s="234">
        <f t="shared" si="48"/>
        <v>0</v>
      </c>
      <c r="BH116" s="235">
        <f t="shared" si="49"/>
        <v>0</v>
      </c>
      <c r="BI116" s="235">
        <f t="shared" si="50"/>
        <v>0</v>
      </c>
      <c r="BJ116" s="235">
        <f t="shared" si="51"/>
        <v>0</v>
      </c>
      <c r="BK116" s="235">
        <f t="shared" si="52"/>
        <v>0</v>
      </c>
      <c r="BL116" s="235">
        <f t="shared" si="53"/>
        <v>0</v>
      </c>
      <c r="BM116" s="235">
        <f t="shared" si="54"/>
        <v>0</v>
      </c>
      <c r="BN116" s="235">
        <f t="shared" si="55"/>
        <v>0</v>
      </c>
      <c r="BO116" s="235">
        <f t="shared" si="56"/>
        <v>0</v>
      </c>
      <c r="BP116" s="235">
        <f t="shared" si="57"/>
        <v>0</v>
      </c>
      <c r="BQ116" s="235">
        <f t="shared" si="58"/>
        <v>0</v>
      </c>
      <c r="BR116" s="235">
        <f t="shared" si="59"/>
        <v>0</v>
      </c>
      <c r="BS116" s="235">
        <f t="shared" si="60"/>
        <v>0</v>
      </c>
      <c r="BT116" s="235">
        <f t="shared" si="61"/>
        <v>0</v>
      </c>
      <c r="BU116" s="235">
        <f t="shared" si="62"/>
        <v>0</v>
      </c>
      <c r="BV116" s="235">
        <f t="shared" si="63"/>
        <v>0</v>
      </c>
      <c r="BW116" s="236">
        <f t="shared" si="64"/>
        <v>0</v>
      </c>
    </row>
    <row r="117" spans="1:75">
      <c r="A117" s="225">
        <v>40198</v>
      </c>
      <c r="B117" s="237"/>
      <c r="C117" s="230">
        <f t="shared" ref="C117:S117" si="94">ROUND((C34-C35),2)</f>
        <v>0</v>
      </c>
      <c r="D117" s="230">
        <f t="shared" si="94"/>
        <v>0</v>
      </c>
      <c r="E117" s="230">
        <f t="shared" si="94"/>
        <v>0</v>
      </c>
      <c r="F117" s="230">
        <f t="shared" si="94"/>
        <v>0</v>
      </c>
      <c r="G117" s="230">
        <f t="shared" si="94"/>
        <v>0</v>
      </c>
      <c r="H117" s="230">
        <f t="shared" si="94"/>
        <v>0</v>
      </c>
      <c r="I117" s="230">
        <f t="shared" si="94"/>
        <v>0</v>
      </c>
      <c r="J117" s="230">
        <f t="shared" si="94"/>
        <v>0</v>
      </c>
      <c r="K117" s="230">
        <f t="shared" si="94"/>
        <v>0</v>
      </c>
      <c r="L117" s="230">
        <f t="shared" si="94"/>
        <v>0</v>
      </c>
      <c r="M117" s="230">
        <f t="shared" si="94"/>
        <v>0</v>
      </c>
      <c r="N117" s="230">
        <f t="shared" si="94"/>
        <v>0</v>
      </c>
      <c r="O117" s="230">
        <f t="shared" si="94"/>
        <v>0</v>
      </c>
      <c r="P117" s="230">
        <f t="shared" si="94"/>
        <v>0</v>
      </c>
      <c r="Q117" s="230">
        <f t="shared" si="94"/>
        <v>0</v>
      </c>
      <c r="R117" s="230">
        <f t="shared" si="94"/>
        <v>0</v>
      </c>
      <c r="S117" s="230">
        <f t="shared" si="94"/>
        <v>0</v>
      </c>
      <c r="T117" s="209">
        <f t="shared" si="46"/>
        <v>0</v>
      </c>
      <c r="U117" s="225">
        <v>40198</v>
      </c>
      <c r="V117" s="225"/>
      <c r="W117" s="231"/>
      <c r="X117" s="231"/>
      <c r="Y117" s="259"/>
      <c r="Z117" s="259"/>
      <c r="AA117" s="231"/>
      <c r="AB117" s="231"/>
      <c r="AC117" s="231"/>
      <c r="AD117" s="231"/>
      <c r="AE117" s="231"/>
      <c r="AF117" s="231"/>
      <c r="AG117" s="231"/>
      <c r="AH117" s="231"/>
      <c r="AI117" s="231"/>
      <c r="AJ117" s="231"/>
      <c r="AK117" s="231"/>
      <c r="AL117" s="231"/>
      <c r="AM117" s="232"/>
      <c r="AN117" s="225">
        <v>40198</v>
      </c>
      <c r="AO117" s="233">
        <f t="shared" ref="AO117:AO152" si="95">C117-V117</f>
        <v>0</v>
      </c>
      <c r="AP117" s="231">
        <f t="shared" ref="AP117:AP152" si="96">D117-W117</f>
        <v>0</v>
      </c>
      <c r="AQ117" s="231">
        <f t="shared" ref="AQ117:AQ152" si="97">E117-X117</f>
        <v>0</v>
      </c>
      <c r="AR117" s="231">
        <f t="shared" ref="AR117:AR152" si="98">F117-Y117</f>
        <v>0</v>
      </c>
      <c r="AS117" s="231">
        <f t="shared" ref="AS117:AS152" si="99">G117-Z117</f>
        <v>0</v>
      </c>
      <c r="AT117" s="231">
        <f t="shared" ref="AT117:AT152" si="100">H117-AA117</f>
        <v>0</v>
      </c>
      <c r="AU117" s="231">
        <f t="shared" ref="AU117:AU152" si="101">I117-AB117</f>
        <v>0</v>
      </c>
      <c r="AV117" s="231">
        <f t="shared" ref="AV117:AV152" si="102">J117-AC117</f>
        <v>0</v>
      </c>
      <c r="AW117" s="231">
        <f t="shared" ref="AW117:AW152" si="103">K117-AD117</f>
        <v>0</v>
      </c>
      <c r="AX117" s="231">
        <f t="shared" ref="AX117:AX152" si="104">L117-AE117</f>
        <v>0</v>
      </c>
      <c r="AY117" s="231">
        <f t="shared" ref="AY117:AY152" si="105">M117-AF117</f>
        <v>0</v>
      </c>
      <c r="AZ117" s="231">
        <f t="shared" ref="AZ117:AZ152" si="106">N117-AG117</f>
        <v>0</v>
      </c>
      <c r="BA117" s="231">
        <f t="shared" ref="BA117:BA152" si="107">O117-AH117</f>
        <v>0</v>
      </c>
      <c r="BB117" s="231">
        <f t="shared" ref="BB117:BB152" si="108">P117-AI117</f>
        <v>0</v>
      </c>
      <c r="BC117" s="231">
        <f t="shared" ref="BC117:BC152" si="109">Q117-AJ117</f>
        <v>0</v>
      </c>
      <c r="BD117" s="231">
        <f t="shared" ref="BD117:BD152" si="110">R117-AK117</f>
        <v>0</v>
      </c>
      <c r="BE117" s="232">
        <f t="shared" ref="BE117:BE152" si="111">S117-AL117</f>
        <v>0</v>
      </c>
      <c r="BF117" s="225">
        <v>40198</v>
      </c>
      <c r="BG117" s="234">
        <f t="shared" si="48"/>
        <v>0</v>
      </c>
      <c r="BH117" s="235">
        <f t="shared" si="49"/>
        <v>0</v>
      </c>
      <c r="BI117" s="235">
        <f t="shared" si="50"/>
        <v>0</v>
      </c>
      <c r="BJ117" s="235">
        <f t="shared" si="51"/>
        <v>0</v>
      </c>
      <c r="BK117" s="235">
        <f t="shared" si="52"/>
        <v>0</v>
      </c>
      <c r="BL117" s="235">
        <f t="shared" si="53"/>
        <v>0</v>
      </c>
      <c r="BM117" s="235">
        <f t="shared" si="54"/>
        <v>0</v>
      </c>
      <c r="BN117" s="235">
        <f t="shared" si="55"/>
        <v>0</v>
      </c>
      <c r="BO117" s="235">
        <f t="shared" si="56"/>
        <v>0</v>
      </c>
      <c r="BP117" s="235">
        <f t="shared" si="57"/>
        <v>0</v>
      </c>
      <c r="BQ117" s="235">
        <f t="shared" si="58"/>
        <v>0</v>
      </c>
      <c r="BR117" s="235">
        <f t="shared" si="59"/>
        <v>0</v>
      </c>
      <c r="BS117" s="235">
        <f t="shared" si="60"/>
        <v>0</v>
      </c>
      <c r="BT117" s="235">
        <f t="shared" si="61"/>
        <v>0</v>
      </c>
      <c r="BU117" s="235">
        <f t="shared" si="62"/>
        <v>0</v>
      </c>
      <c r="BV117" s="235">
        <f t="shared" si="63"/>
        <v>0</v>
      </c>
      <c r="BW117" s="236">
        <f t="shared" si="64"/>
        <v>0</v>
      </c>
    </row>
    <row r="118" spans="1:75" s="587" customFormat="1">
      <c r="A118" s="580">
        <v>40231</v>
      </c>
      <c r="B118" s="590"/>
      <c r="C118" s="577">
        <f t="shared" ref="C118:S118" si="112">ROUND((C35-C36),2)</f>
        <v>0</v>
      </c>
      <c r="D118" s="577">
        <f t="shared" si="112"/>
        <v>0</v>
      </c>
      <c r="E118" s="577">
        <f t="shared" si="112"/>
        <v>0</v>
      </c>
      <c r="F118" s="684">
        <f t="shared" si="112"/>
        <v>141109873.18000001</v>
      </c>
      <c r="G118" s="684">
        <f t="shared" si="112"/>
        <v>52456536.399999999</v>
      </c>
      <c r="H118" s="577">
        <f t="shared" si="112"/>
        <v>0</v>
      </c>
      <c r="I118" s="577">
        <f t="shared" si="112"/>
        <v>0</v>
      </c>
      <c r="J118" s="577">
        <f t="shared" si="112"/>
        <v>0</v>
      </c>
      <c r="K118" s="577">
        <f t="shared" si="112"/>
        <v>0</v>
      </c>
      <c r="L118" s="684">
        <f t="shared" si="112"/>
        <v>44670136.990000002</v>
      </c>
      <c r="M118" s="684">
        <f t="shared" si="112"/>
        <v>9402425.6899999995</v>
      </c>
      <c r="N118" s="684">
        <f t="shared" si="112"/>
        <v>0</v>
      </c>
      <c r="O118" s="684">
        <f t="shared" si="112"/>
        <v>30343785.91</v>
      </c>
      <c r="P118" s="684">
        <f t="shared" si="112"/>
        <v>18804851.379999999</v>
      </c>
      <c r="Q118" s="684">
        <f t="shared" si="112"/>
        <v>10649077.720000001</v>
      </c>
      <c r="R118" s="684">
        <f t="shared" si="112"/>
        <v>60910922.5</v>
      </c>
      <c r="S118" s="684">
        <f t="shared" si="112"/>
        <v>10342668.26</v>
      </c>
      <c r="T118" s="591">
        <f t="shared" ref="T118:T149" si="113">SUM(C118:S118)</f>
        <v>378690278.03000003</v>
      </c>
      <c r="U118" s="580">
        <v>40231</v>
      </c>
      <c r="V118" s="580"/>
      <c r="W118" s="581"/>
      <c r="X118" s="581"/>
      <c r="Y118" s="684">
        <v>141109873.18000001</v>
      </c>
      <c r="Z118" s="684">
        <v>52456536.399999999</v>
      </c>
      <c r="AA118" s="581"/>
      <c r="AB118" s="581"/>
      <c r="AC118" s="581"/>
      <c r="AD118" s="581"/>
      <c r="AE118" s="684">
        <v>44670136.990000002</v>
      </c>
      <c r="AF118" s="684">
        <v>9402425.6899999995</v>
      </c>
      <c r="AG118" s="585"/>
      <c r="AH118" s="684">
        <v>30343785.91</v>
      </c>
      <c r="AI118" s="684">
        <v>18804851.379999999</v>
      </c>
      <c r="AJ118" s="684">
        <v>10649077.720000001</v>
      </c>
      <c r="AK118" s="684">
        <v>60910922.5</v>
      </c>
      <c r="AL118" s="684">
        <v>10342668.26</v>
      </c>
      <c r="AM118" s="582"/>
      <c r="AN118" s="580">
        <v>40231</v>
      </c>
      <c r="AO118" s="583">
        <f t="shared" si="95"/>
        <v>0</v>
      </c>
      <c r="AP118" s="581">
        <f t="shared" si="96"/>
        <v>0</v>
      </c>
      <c r="AQ118" s="581">
        <f t="shared" si="97"/>
        <v>0</v>
      </c>
      <c r="AR118" s="581">
        <f t="shared" si="98"/>
        <v>0</v>
      </c>
      <c r="AS118" s="581">
        <f t="shared" si="99"/>
        <v>0</v>
      </c>
      <c r="AT118" s="581">
        <f t="shared" si="100"/>
        <v>0</v>
      </c>
      <c r="AU118" s="581">
        <f t="shared" si="101"/>
        <v>0</v>
      </c>
      <c r="AV118" s="581">
        <f t="shared" si="102"/>
        <v>0</v>
      </c>
      <c r="AW118" s="581">
        <f t="shared" si="103"/>
        <v>0</v>
      </c>
      <c r="AX118" s="581">
        <f t="shared" si="104"/>
        <v>0</v>
      </c>
      <c r="AY118" s="581">
        <f t="shared" si="105"/>
        <v>0</v>
      </c>
      <c r="AZ118" s="581">
        <f t="shared" si="106"/>
        <v>0</v>
      </c>
      <c r="BA118" s="581">
        <f t="shared" si="107"/>
        <v>0</v>
      </c>
      <c r="BB118" s="581">
        <f t="shared" si="108"/>
        <v>0</v>
      </c>
      <c r="BC118" s="581">
        <f t="shared" si="109"/>
        <v>0</v>
      </c>
      <c r="BD118" s="581">
        <f t="shared" si="110"/>
        <v>0</v>
      </c>
      <c r="BE118" s="582">
        <f t="shared" si="111"/>
        <v>0</v>
      </c>
      <c r="BF118" s="580">
        <v>40231</v>
      </c>
      <c r="BG118" s="592">
        <f t="shared" si="48"/>
        <v>0</v>
      </c>
      <c r="BH118" s="593">
        <f t="shared" si="49"/>
        <v>0</v>
      </c>
      <c r="BI118" s="593">
        <f t="shared" si="50"/>
        <v>0</v>
      </c>
      <c r="BJ118" s="593">
        <f t="shared" si="51"/>
        <v>0</v>
      </c>
      <c r="BK118" s="593">
        <f t="shared" si="52"/>
        <v>0</v>
      </c>
      <c r="BL118" s="593">
        <f t="shared" si="53"/>
        <v>0</v>
      </c>
      <c r="BM118" s="593">
        <f t="shared" si="54"/>
        <v>0</v>
      </c>
      <c r="BN118" s="593">
        <f t="shared" si="55"/>
        <v>0</v>
      </c>
      <c r="BO118" s="593">
        <f t="shared" si="56"/>
        <v>0</v>
      </c>
      <c r="BP118" s="593">
        <f t="shared" si="57"/>
        <v>0</v>
      </c>
      <c r="BQ118" s="593">
        <f t="shared" si="58"/>
        <v>0</v>
      </c>
      <c r="BR118" s="593">
        <f t="shared" si="59"/>
        <v>0</v>
      </c>
      <c r="BS118" s="593">
        <f t="shared" si="60"/>
        <v>0</v>
      </c>
      <c r="BT118" s="593">
        <f t="shared" si="61"/>
        <v>0</v>
      </c>
      <c r="BU118" s="593">
        <f t="shared" si="62"/>
        <v>0</v>
      </c>
      <c r="BV118" s="593">
        <f t="shared" si="63"/>
        <v>0</v>
      </c>
      <c r="BW118" s="594">
        <f t="shared" si="64"/>
        <v>0</v>
      </c>
    </row>
    <row r="119" spans="1:75">
      <c r="A119" s="225">
        <v>40257</v>
      </c>
      <c r="B119" s="237"/>
      <c r="C119" s="230">
        <f t="shared" ref="C119:S119" si="114">ROUND((C36-C37),2)</f>
        <v>0</v>
      </c>
      <c r="D119" s="230">
        <f t="shared" si="114"/>
        <v>0</v>
      </c>
      <c r="E119" s="230">
        <f t="shared" si="114"/>
        <v>0</v>
      </c>
      <c r="F119" s="230">
        <f t="shared" si="114"/>
        <v>0</v>
      </c>
      <c r="G119" s="230">
        <f t="shared" si="114"/>
        <v>0</v>
      </c>
      <c r="H119" s="230">
        <f t="shared" si="114"/>
        <v>0</v>
      </c>
      <c r="I119" s="230">
        <f t="shared" si="114"/>
        <v>0</v>
      </c>
      <c r="J119" s="230">
        <f t="shared" si="114"/>
        <v>0</v>
      </c>
      <c r="K119" s="230">
        <f t="shared" si="114"/>
        <v>0</v>
      </c>
      <c r="L119" s="230">
        <f t="shared" si="114"/>
        <v>0</v>
      </c>
      <c r="M119" s="230">
        <f t="shared" si="114"/>
        <v>0</v>
      </c>
      <c r="N119" s="230">
        <f t="shared" si="114"/>
        <v>0</v>
      </c>
      <c r="O119" s="230">
        <f t="shared" si="114"/>
        <v>0</v>
      </c>
      <c r="P119" s="230">
        <f t="shared" si="114"/>
        <v>0</v>
      </c>
      <c r="Q119" s="230">
        <f t="shared" si="114"/>
        <v>0</v>
      </c>
      <c r="R119" s="230">
        <f t="shared" si="114"/>
        <v>0</v>
      </c>
      <c r="S119" s="230">
        <f t="shared" si="114"/>
        <v>0</v>
      </c>
      <c r="T119" s="209">
        <f t="shared" si="113"/>
        <v>0</v>
      </c>
      <c r="U119" s="225">
        <v>40257</v>
      </c>
      <c r="V119" s="225"/>
      <c r="W119" s="231"/>
      <c r="X119" s="231"/>
      <c r="Y119" s="259"/>
      <c r="Z119" s="259"/>
      <c r="AA119" s="231"/>
      <c r="AB119" s="231"/>
      <c r="AC119" s="231"/>
      <c r="AD119" s="231"/>
      <c r="AE119" s="231"/>
      <c r="AF119" s="231"/>
      <c r="AG119" s="231"/>
      <c r="AH119" s="231"/>
      <c r="AI119" s="231"/>
      <c r="AJ119" s="231"/>
      <c r="AK119" s="231"/>
      <c r="AL119" s="231"/>
      <c r="AM119" s="232"/>
      <c r="AN119" s="225">
        <v>40257</v>
      </c>
      <c r="AO119" s="233">
        <f t="shared" si="95"/>
        <v>0</v>
      </c>
      <c r="AP119" s="231">
        <f t="shared" si="96"/>
        <v>0</v>
      </c>
      <c r="AQ119" s="231">
        <f t="shared" si="97"/>
        <v>0</v>
      </c>
      <c r="AR119" s="231">
        <f t="shared" si="98"/>
        <v>0</v>
      </c>
      <c r="AS119" s="231">
        <f t="shared" si="99"/>
        <v>0</v>
      </c>
      <c r="AT119" s="231">
        <f t="shared" si="100"/>
        <v>0</v>
      </c>
      <c r="AU119" s="231">
        <f t="shared" si="101"/>
        <v>0</v>
      </c>
      <c r="AV119" s="231">
        <f t="shared" si="102"/>
        <v>0</v>
      </c>
      <c r="AW119" s="231">
        <f t="shared" si="103"/>
        <v>0</v>
      </c>
      <c r="AX119" s="231">
        <f t="shared" si="104"/>
        <v>0</v>
      </c>
      <c r="AY119" s="231">
        <f t="shared" si="105"/>
        <v>0</v>
      </c>
      <c r="AZ119" s="231">
        <f t="shared" si="106"/>
        <v>0</v>
      </c>
      <c r="BA119" s="231">
        <f t="shared" si="107"/>
        <v>0</v>
      </c>
      <c r="BB119" s="231">
        <f t="shared" si="108"/>
        <v>0</v>
      </c>
      <c r="BC119" s="231">
        <f t="shared" si="109"/>
        <v>0</v>
      </c>
      <c r="BD119" s="231">
        <f t="shared" si="110"/>
        <v>0</v>
      </c>
      <c r="BE119" s="232">
        <f t="shared" si="111"/>
        <v>0</v>
      </c>
      <c r="BF119" s="225">
        <v>40257</v>
      </c>
      <c r="BG119" s="234">
        <f t="shared" ref="BG119:BG152" si="115">+BG118+AO119</f>
        <v>0</v>
      </c>
      <c r="BH119" s="235">
        <f t="shared" ref="BH119:BH152" si="116">+BH118+AP119</f>
        <v>0</v>
      </c>
      <c r="BI119" s="235">
        <f t="shared" ref="BI119:BI152" si="117">+BI118+AQ119</f>
        <v>0</v>
      </c>
      <c r="BJ119" s="235">
        <f t="shared" ref="BJ119:BJ152" si="118">+BJ118+AR119</f>
        <v>0</v>
      </c>
      <c r="BK119" s="235">
        <f t="shared" ref="BK119:BK152" si="119">+BK118+AS119</f>
        <v>0</v>
      </c>
      <c r="BL119" s="235">
        <f t="shared" ref="BL119:BL152" si="120">+BL118+AT119</f>
        <v>0</v>
      </c>
      <c r="BM119" s="235">
        <f t="shared" ref="BM119:BM152" si="121">+BM118+AU119</f>
        <v>0</v>
      </c>
      <c r="BN119" s="235">
        <f t="shared" ref="BN119:BN152" si="122">+BN118+AV119</f>
        <v>0</v>
      </c>
      <c r="BO119" s="235">
        <f t="shared" ref="BO119:BO152" si="123">+BO118+AW119</f>
        <v>0</v>
      </c>
      <c r="BP119" s="235">
        <f t="shared" ref="BP119:BP152" si="124">+BP118+AX119</f>
        <v>0</v>
      </c>
      <c r="BQ119" s="235">
        <f t="shared" ref="BQ119:BQ152" si="125">+BQ118+AY119</f>
        <v>0</v>
      </c>
      <c r="BR119" s="235">
        <f t="shared" ref="BR119:BR152" si="126">+BR118+AZ119</f>
        <v>0</v>
      </c>
      <c r="BS119" s="235">
        <f t="shared" ref="BS119:BS152" si="127">+BS118+BA119</f>
        <v>0</v>
      </c>
      <c r="BT119" s="235">
        <f t="shared" ref="BT119:BT152" si="128">+BT118+BB119</f>
        <v>0</v>
      </c>
      <c r="BU119" s="235">
        <f t="shared" ref="BU119:BU152" si="129">+BU118+BC119</f>
        <v>0</v>
      </c>
      <c r="BV119" s="235">
        <f t="shared" ref="BV119:BV152" si="130">+BV118+BD119</f>
        <v>0</v>
      </c>
      <c r="BW119" s="236">
        <f t="shared" ref="BW119:BW152" si="131">+BW118+BE119</f>
        <v>0</v>
      </c>
    </row>
    <row r="120" spans="1:75">
      <c r="A120" s="225">
        <v>40288</v>
      </c>
      <c r="B120" s="237"/>
      <c r="C120" s="230">
        <f t="shared" ref="C120:S120" si="132">ROUND((C37-C38),2)</f>
        <v>0</v>
      </c>
      <c r="D120" s="230">
        <f t="shared" si="132"/>
        <v>0</v>
      </c>
      <c r="E120" s="230">
        <f t="shared" si="132"/>
        <v>0</v>
      </c>
      <c r="F120" s="230">
        <f t="shared" si="132"/>
        <v>0</v>
      </c>
      <c r="G120" s="230">
        <f t="shared" si="132"/>
        <v>0</v>
      </c>
      <c r="H120" s="230">
        <f t="shared" si="132"/>
        <v>0</v>
      </c>
      <c r="I120" s="230">
        <f t="shared" si="132"/>
        <v>0</v>
      </c>
      <c r="J120" s="230">
        <f t="shared" si="132"/>
        <v>0</v>
      </c>
      <c r="K120" s="230">
        <f t="shared" si="132"/>
        <v>0</v>
      </c>
      <c r="L120" s="230">
        <f t="shared" si="132"/>
        <v>0</v>
      </c>
      <c r="M120" s="230">
        <f t="shared" si="132"/>
        <v>0</v>
      </c>
      <c r="N120" s="230">
        <f t="shared" si="132"/>
        <v>0</v>
      </c>
      <c r="O120" s="230">
        <f t="shared" si="132"/>
        <v>0</v>
      </c>
      <c r="P120" s="230">
        <f t="shared" si="132"/>
        <v>0</v>
      </c>
      <c r="Q120" s="230">
        <f t="shared" si="132"/>
        <v>0</v>
      </c>
      <c r="R120" s="230">
        <f t="shared" si="132"/>
        <v>0</v>
      </c>
      <c r="S120" s="230">
        <f t="shared" si="132"/>
        <v>0</v>
      </c>
      <c r="T120" s="209">
        <f t="shared" si="113"/>
        <v>0</v>
      </c>
      <c r="U120" s="225">
        <v>40288</v>
      </c>
      <c r="V120" s="225"/>
      <c r="W120" s="231"/>
      <c r="X120" s="231"/>
      <c r="Y120" s="259"/>
      <c r="Z120" s="259"/>
      <c r="AA120" s="231"/>
      <c r="AB120" s="231"/>
      <c r="AC120" s="231"/>
      <c r="AD120" s="231"/>
      <c r="AE120" s="231"/>
      <c r="AF120" s="231"/>
      <c r="AG120" s="231"/>
      <c r="AH120" s="231"/>
      <c r="AI120" s="231"/>
      <c r="AJ120" s="231"/>
      <c r="AK120" s="231"/>
      <c r="AL120" s="231"/>
      <c r="AM120" s="232"/>
      <c r="AN120" s="225">
        <v>40288</v>
      </c>
      <c r="AO120" s="233">
        <f t="shared" si="95"/>
        <v>0</v>
      </c>
      <c r="AP120" s="231">
        <f t="shared" si="96"/>
        <v>0</v>
      </c>
      <c r="AQ120" s="231">
        <f t="shared" si="97"/>
        <v>0</v>
      </c>
      <c r="AR120" s="231">
        <f t="shared" si="98"/>
        <v>0</v>
      </c>
      <c r="AS120" s="231">
        <f t="shared" si="99"/>
        <v>0</v>
      </c>
      <c r="AT120" s="231">
        <f t="shared" si="100"/>
        <v>0</v>
      </c>
      <c r="AU120" s="231">
        <f t="shared" si="101"/>
        <v>0</v>
      </c>
      <c r="AV120" s="231">
        <f t="shared" si="102"/>
        <v>0</v>
      </c>
      <c r="AW120" s="231">
        <f t="shared" si="103"/>
        <v>0</v>
      </c>
      <c r="AX120" s="231">
        <f t="shared" si="104"/>
        <v>0</v>
      </c>
      <c r="AY120" s="231">
        <f t="shared" si="105"/>
        <v>0</v>
      </c>
      <c r="AZ120" s="231">
        <f t="shared" si="106"/>
        <v>0</v>
      </c>
      <c r="BA120" s="231">
        <f t="shared" si="107"/>
        <v>0</v>
      </c>
      <c r="BB120" s="231">
        <f t="shared" si="108"/>
        <v>0</v>
      </c>
      <c r="BC120" s="231">
        <f t="shared" si="109"/>
        <v>0</v>
      </c>
      <c r="BD120" s="231">
        <f t="shared" si="110"/>
        <v>0</v>
      </c>
      <c r="BE120" s="232">
        <f t="shared" si="111"/>
        <v>0</v>
      </c>
      <c r="BF120" s="225">
        <v>40288</v>
      </c>
      <c r="BG120" s="234">
        <f t="shared" si="115"/>
        <v>0</v>
      </c>
      <c r="BH120" s="235">
        <f t="shared" si="116"/>
        <v>0</v>
      </c>
      <c r="BI120" s="235">
        <f t="shared" si="117"/>
        <v>0</v>
      </c>
      <c r="BJ120" s="235">
        <f t="shared" si="118"/>
        <v>0</v>
      </c>
      <c r="BK120" s="235">
        <f t="shared" si="119"/>
        <v>0</v>
      </c>
      <c r="BL120" s="235">
        <f t="shared" si="120"/>
        <v>0</v>
      </c>
      <c r="BM120" s="235">
        <f t="shared" si="121"/>
        <v>0</v>
      </c>
      <c r="BN120" s="235">
        <f t="shared" si="122"/>
        <v>0</v>
      </c>
      <c r="BO120" s="235">
        <f t="shared" si="123"/>
        <v>0</v>
      </c>
      <c r="BP120" s="235">
        <f t="shared" si="124"/>
        <v>0</v>
      </c>
      <c r="BQ120" s="235">
        <f t="shared" si="125"/>
        <v>0</v>
      </c>
      <c r="BR120" s="235">
        <f t="shared" si="126"/>
        <v>0</v>
      </c>
      <c r="BS120" s="235">
        <f t="shared" si="127"/>
        <v>0</v>
      </c>
      <c r="BT120" s="235">
        <f t="shared" si="128"/>
        <v>0</v>
      </c>
      <c r="BU120" s="235">
        <f t="shared" si="129"/>
        <v>0</v>
      </c>
      <c r="BV120" s="235">
        <f t="shared" si="130"/>
        <v>0</v>
      </c>
      <c r="BW120" s="236">
        <f t="shared" si="131"/>
        <v>0</v>
      </c>
    </row>
    <row r="121" spans="1:75" s="587" customFormat="1">
      <c r="A121" s="580">
        <v>40318</v>
      </c>
      <c r="B121" s="590"/>
      <c r="C121" s="577">
        <f t="shared" ref="C121:N121" si="133">ROUND((C38-C39),2)</f>
        <v>0</v>
      </c>
      <c r="D121" s="577">
        <f t="shared" si="133"/>
        <v>0</v>
      </c>
      <c r="E121" s="577">
        <f t="shared" si="133"/>
        <v>0</v>
      </c>
      <c r="F121" s="684">
        <f t="shared" si="133"/>
        <v>133453478.51000001</v>
      </c>
      <c r="G121" s="684">
        <f t="shared" si="133"/>
        <v>49610329.130000003</v>
      </c>
      <c r="H121" s="577">
        <f t="shared" si="133"/>
        <v>0</v>
      </c>
      <c r="I121" s="577">
        <f t="shared" si="133"/>
        <v>0</v>
      </c>
      <c r="J121" s="577">
        <f t="shared" si="133"/>
        <v>0</v>
      </c>
      <c r="K121" s="577">
        <f t="shared" si="133"/>
        <v>0</v>
      </c>
      <c r="L121" s="577">
        <f>ROUND((L38-L39),2)-50348187.98</f>
        <v>0</v>
      </c>
      <c r="M121" s="577">
        <f>ROUND((M38-M39),2)-10597574.31</f>
        <v>0</v>
      </c>
      <c r="N121" s="577">
        <f t="shared" si="133"/>
        <v>0</v>
      </c>
      <c r="O121" s="577">
        <f>ROUND((O38-O39),2)-34200804.83</f>
        <v>0</v>
      </c>
      <c r="P121" s="577">
        <f>ROUND((P38-P39),2)-21195148.62</f>
        <v>0</v>
      </c>
      <c r="Q121" s="577">
        <f>ROUND((Q38-Q39),2)-12002689.12</f>
        <v>0</v>
      </c>
      <c r="R121" s="577">
        <f>ROUND((R38-R39),2)-68653350.61</f>
        <v>0</v>
      </c>
      <c r="S121" s="577">
        <f>ROUND((S38-S39),2)-11657331.74</f>
        <v>0</v>
      </c>
      <c r="T121" s="694">
        <f t="shared" si="113"/>
        <v>183063807.64000002</v>
      </c>
      <c r="U121" s="580">
        <v>40318</v>
      </c>
      <c r="V121" s="580"/>
      <c r="W121" s="581"/>
      <c r="X121" s="581"/>
      <c r="Y121" s="684">
        <v>133453478.51000001</v>
      </c>
      <c r="Z121" s="684">
        <v>49610329.130000003</v>
      </c>
      <c r="AA121" s="581"/>
      <c r="AB121" s="581"/>
      <c r="AC121" s="581"/>
      <c r="AD121" s="581"/>
      <c r="AE121" s="581"/>
      <c r="AF121" s="581"/>
      <c r="AG121" s="581"/>
      <c r="AH121" s="581"/>
      <c r="AI121" s="581"/>
      <c r="AJ121" s="581"/>
      <c r="AK121" s="581"/>
      <c r="AL121" s="581"/>
      <c r="AM121" s="582"/>
      <c r="AN121" s="580">
        <v>40318</v>
      </c>
      <c r="AO121" s="583">
        <f t="shared" si="95"/>
        <v>0</v>
      </c>
      <c r="AP121" s="581">
        <f t="shared" si="96"/>
        <v>0</v>
      </c>
      <c r="AQ121" s="581">
        <f t="shared" si="97"/>
        <v>0</v>
      </c>
      <c r="AR121" s="581">
        <f t="shared" si="98"/>
        <v>0</v>
      </c>
      <c r="AS121" s="581">
        <f t="shared" si="99"/>
        <v>0</v>
      </c>
      <c r="AT121" s="581">
        <f t="shared" si="100"/>
        <v>0</v>
      </c>
      <c r="AU121" s="581">
        <f t="shared" si="101"/>
        <v>0</v>
      </c>
      <c r="AV121" s="581">
        <f t="shared" si="102"/>
        <v>0</v>
      </c>
      <c r="AW121" s="581">
        <f t="shared" si="103"/>
        <v>0</v>
      </c>
      <c r="AX121" s="581">
        <f t="shared" si="104"/>
        <v>0</v>
      </c>
      <c r="AY121" s="581">
        <f t="shared" si="105"/>
        <v>0</v>
      </c>
      <c r="AZ121" s="581">
        <f t="shared" si="106"/>
        <v>0</v>
      </c>
      <c r="BA121" s="581">
        <f t="shared" si="107"/>
        <v>0</v>
      </c>
      <c r="BB121" s="581">
        <f t="shared" si="108"/>
        <v>0</v>
      </c>
      <c r="BC121" s="581">
        <f t="shared" si="109"/>
        <v>0</v>
      </c>
      <c r="BD121" s="581">
        <f t="shared" si="110"/>
        <v>0</v>
      </c>
      <c r="BE121" s="582">
        <f t="shared" si="111"/>
        <v>0</v>
      </c>
      <c r="BF121" s="580">
        <v>40318</v>
      </c>
      <c r="BG121" s="592">
        <f t="shared" si="115"/>
        <v>0</v>
      </c>
      <c r="BH121" s="593">
        <f t="shared" si="116"/>
        <v>0</v>
      </c>
      <c r="BI121" s="593">
        <f t="shared" si="117"/>
        <v>0</v>
      </c>
      <c r="BJ121" s="593">
        <f t="shared" si="118"/>
        <v>0</v>
      </c>
      <c r="BK121" s="593">
        <f t="shared" si="119"/>
        <v>0</v>
      </c>
      <c r="BL121" s="593">
        <f t="shared" si="120"/>
        <v>0</v>
      </c>
      <c r="BM121" s="593">
        <f t="shared" si="121"/>
        <v>0</v>
      </c>
      <c r="BN121" s="593">
        <f t="shared" si="122"/>
        <v>0</v>
      </c>
      <c r="BO121" s="593">
        <f t="shared" si="123"/>
        <v>0</v>
      </c>
      <c r="BP121" s="593">
        <f t="shared" si="124"/>
        <v>0</v>
      </c>
      <c r="BQ121" s="593">
        <f t="shared" si="125"/>
        <v>0</v>
      </c>
      <c r="BR121" s="593">
        <f t="shared" si="126"/>
        <v>0</v>
      </c>
      <c r="BS121" s="593">
        <f t="shared" si="127"/>
        <v>0</v>
      </c>
      <c r="BT121" s="593">
        <f t="shared" si="128"/>
        <v>0</v>
      </c>
      <c r="BU121" s="593">
        <f t="shared" si="129"/>
        <v>0</v>
      </c>
      <c r="BV121" s="593">
        <f t="shared" si="130"/>
        <v>0</v>
      </c>
      <c r="BW121" s="594">
        <f t="shared" si="131"/>
        <v>0</v>
      </c>
    </row>
    <row r="122" spans="1:75">
      <c r="A122" s="225">
        <v>40349</v>
      </c>
      <c r="B122" s="237"/>
      <c r="C122" s="230">
        <f t="shared" ref="C122:S122" si="134">ROUND((C39-C40),2)</f>
        <v>0</v>
      </c>
      <c r="D122" s="230">
        <f t="shared" si="134"/>
        <v>0</v>
      </c>
      <c r="E122" s="230">
        <f t="shared" si="134"/>
        <v>0</v>
      </c>
      <c r="F122" s="230">
        <f t="shared" si="134"/>
        <v>0</v>
      </c>
      <c r="G122" s="230">
        <f t="shared" si="134"/>
        <v>0</v>
      </c>
      <c r="H122" s="230">
        <f t="shared" si="134"/>
        <v>0</v>
      </c>
      <c r="I122" s="230">
        <f t="shared" si="134"/>
        <v>0</v>
      </c>
      <c r="J122" s="230">
        <f t="shared" si="134"/>
        <v>0</v>
      </c>
      <c r="K122" s="230">
        <f t="shared" si="134"/>
        <v>0</v>
      </c>
      <c r="L122" s="230">
        <f t="shared" si="134"/>
        <v>0</v>
      </c>
      <c r="M122" s="230">
        <f t="shared" si="134"/>
        <v>0</v>
      </c>
      <c r="N122" s="230">
        <f t="shared" si="134"/>
        <v>0</v>
      </c>
      <c r="O122" s="230">
        <f t="shared" si="134"/>
        <v>0</v>
      </c>
      <c r="P122" s="230">
        <f t="shared" si="134"/>
        <v>0</v>
      </c>
      <c r="Q122" s="230">
        <f t="shared" si="134"/>
        <v>0</v>
      </c>
      <c r="R122" s="230">
        <f t="shared" si="134"/>
        <v>0</v>
      </c>
      <c r="S122" s="230">
        <f t="shared" si="134"/>
        <v>0</v>
      </c>
      <c r="T122" s="209">
        <f t="shared" si="113"/>
        <v>0</v>
      </c>
      <c r="U122" s="225">
        <v>40349</v>
      </c>
      <c r="V122" s="225"/>
      <c r="W122" s="231"/>
      <c r="X122" s="231"/>
      <c r="Y122" s="231"/>
      <c r="Z122" s="231"/>
      <c r="AA122" s="231"/>
      <c r="AB122" s="231"/>
      <c r="AC122" s="231"/>
      <c r="AD122" s="231"/>
      <c r="AE122" s="231"/>
      <c r="AF122" s="231"/>
      <c r="AG122" s="231"/>
      <c r="AH122" s="231"/>
      <c r="AI122" s="231"/>
      <c r="AJ122" s="231"/>
      <c r="AK122" s="231"/>
      <c r="AL122" s="231"/>
      <c r="AM122" s="232"/>
      <c r="AN122" s="225">
        <v>40349</v>
      </c>
      <c r="AO122" s="233">
        <f t="shared" si="95"/>
        <v>0</v>
      </c>
      <c r="AP122" s="231">
        <f t="shared" si="96"/>
        <v>0</v>
      </c>
      <c r="AQ122" s="231">
        <f t="shared" si="97"/>
        <v>0</v>
      </c>
      <c r="AR122" s="231">
        <f t="shared" si="98"/>
        <v>0</v>
      </c>
      <c r="AS122" s="231">
        <f t="shared" si="99"/>
        <v>0</v>
      </c>
      <c r="AT122" s="231">
        <f t="shared" si="100"/>
        <v>0</v>
      </c>
      <c r="AU122" s="231">
        <f t="shared" si="101"/>
        <v>0</v>
      </c>
      <c r="AV122" s="231">
        <f t="shared" si="102"/>
        <v>0</v>
      </c>
      <c r="AW122" s="231">
        <f t="shared" si="103"/>
        <v>0</v>
      </c>
      <c r="AX122" s="231">
        <f t="shared" si="104"/>
        <v>0</v>
      </c>
      <c r="AY122" s="231">
        <f t="shared" si="105"/>
        <v>0</v>
      </c>
      <c r="AZ122" s="231">
        <f t="shared" si="106"/>
        <v>0</v>
      </c>
      <c r="BA122" s="231">
        <f t="shared" si="107"/>
        <v>0</v>
      </c>
      <c r="BB122" s="231">
        <f t="shared" si="108"/>
        <v>0</v>
      </c>
      <c r="BC122" s="231">
        <f t="shared" si="109"/>
        <v>0</v>
      </c>
      <c r="BD122" s="231">
        <f t="shared" si="110"/>
        <v>0</v>
      </c>
      <c r="BE122" s="232">
        <f t="shared" si="111"/>
        <v>0</v>
      </c>
      <c r="BF122" s="225">
        <v>40349</v>
      </c>
      <c r="BG122" s="234">
        <f t="shared" si="115"/>
        <v>0</v>
      </c>
      <c r="BH122" s="235">
        <f t="shared" si="116"/>
        <v>0</v>
      </c>
      <c r="BI122" s="235">
        <f t="shared" si="117"/>
        <v>0</v>
      </c>
      <c r="BJ122" s="235">
        <f t="shared" si="118"/>
        <v>0</v>
      </c>
      <c r="BK122" s="235">
        <f t="shared" si="119"/>
        <v>0</v>
      </c>
      <c r="BL122" s="235">
        <f t="shared" si="120"/>
        <v>0</v>
      </c>
      <c r="BM122" s="235">
        <f t="shared" si="121"/>
        <v>0</v>
      </c>
      <c r="BN122" s="235">
        <f t="shared" si="122"/>
        <v>0</v>
      </c>
      <c r="BO122" s="235">
        <f t="shared" si="123"/>
        <v>0</v>
      </c>
      <c r="BP122" s="235">
        <f t="shared" si="124"/>
        <v>0</v>
      </c>
      <c r="BQ122" s="235">
        <f t="shared" si="125"/>
        <v>0</v>
      </c>
      <c r="BR122" s="235">
        <f t="shared" si="126"/>
        <v>0</v>
      </c>
      <c r="BS122" s="235">
        <f t="shared" si="127"/>
        <v>0</v>
      </c>
      <c r="BT122" s="235">
        <f t="shared" si="128"/>
        <v>0</v>
      </c>
      <c r="BU122" s="235">
        <f t="shared" si="129"/>
        <v>0</v>
      </c>
      <c r="BV122" s="235">
        <f t="shared" si="130"/>
        <v>0</v>
      </c>
      <c r="BW122" s="236">
        <f t="shared" si="131"/>
        <v>0</v>
      </c>
    </row>
    <row r="123" spans="1:75">
      <c r="A123" s="225">
        <v>40379</v>
      </c>
      <c r="B123" s="237"/>
      <c r="C123" s="230">
        <f t="shared" ref="C123:S123" si="135">ROUND((C40-C41),2)</f>
        <v>0</v>
      </c>
      <c r="D123" s="230">
        <f t="shared" si="135"/>
        <v>0</v>
      </c>
      <c r="E123" s="230">
        <f t="shared" si="135"/>
        <v>0</v>
      </c>
      <c r="F123" s="230">
        <f t="shared" si="135"/>
        <v>0</v>
      </c>
      <c r="G123" s="230">
        <f t="shared" si="135"/>
        <v>0</v>
      </c>
      <c r="H123" s="230">
        <f t="shared" si="135"/>
        <v>0</v>
      </c>
      <c r="I123" s="230">
        <f t="shared" si="135"/>
        <v>0</v>
      </c>
      <c r="J123" s="230">
        <f t="shared" si="135"/>
        <v>0</v>
      </c>
      <c r="K123" s="230">
        <f t="shared" si="135"/>
        <v>0</v>
      </c>
      <c r="L123" s="230">
        <f t="shared" si="135"/>
        <v>0</v>
      </c>
      <c r="M123" s="230">
        <f t="shared" si="135"/>
        <v>0</v>
      </c>
      <c r="N123" s="230">
        <f t="shared" si="135"/>
        <v>0</v>
      </c>
      <c r="O123" s="230">
        <f t="shared" si="135"/>
        <v>0</v>
      </c>
      <c r="P123" s="230">
        <f t="shared" si="135"/>
        <v>0</v>
      </c>
      <c r="Q123" s="230">
        <f t="shared" si="135"/>
        <v>0</v>
      </c>
      <c r="R123" s="230">
        <f t="shared" si="135"/>
        <v>0</v>
      </c>
      <c r="S123" s="230">
        <f t="shared" si="135"/>
        <v>0</v>
      </c>
      <c r="T123" s="209">
        <f t="shared" si="113"/>
        <v>0</v>
      </c>
      <c r="U123" s="225">
        <v>40379</v>
      </c>
      <c r="V123" s="225"/>
      <c r="W123" s="231"/>
      <c r="X123" s="231"/>
      <c r="Y123" s="231"/>
      <c r="Z123" s="231"/>
      <c r="AA123" s="231"/>
      <c r="AB123" s="231"/>
      <c r="AC123" s="231"/>
      <c r="AD123" s="231"/>
      <c r="AE123" s="231"/>
      <c r="AF123" s="231"/>
      <c r="AG123" s="231"/>
      <c r="AH123" s="231"/>
      <c r="AI123" s="231"/>
      <c r="AJ123" s="231"/>
      <c r="AK123" s="231"/>
      <c r="AL123" s="231"/>
      <c r="AM123" s="232"/>
      <c r="AN123" s="225">
        <v>40379</v>
      </c>
      <c r="AO123" s="233">
        <f t="shared" si="95"/>
        <v>0</v>
      </c>
      <c r="AP123" s="231">
        <f t="shared" si="96"/>
        <v>0</v>
      </c>
      <c r="AQ123" s="231">
        <f t="shared" si="97"/>
        <v>0</v>
      </c>
      <c r="AR123" s="231">
        <f t="shared" si="98"/>
        <v>0</v>
      </c>
      <c r="AS123" s="231">
        <f t="shared" si="99"/>
        <v>0</v>
      </c>
      <c r="AT123" s="231">
        <f t="shared" si="100"/>
        <v>0</v>
      </c>
      <c r="AU123" s="231">
        <f t="shared" si="101"/>
        <v>0</v>
      </c>
      <c r="AV123" s="231">
        <f t="shared" si="102"/>
        <v>0</v>
      </c>
      <c r="AW123" s="231">
        <f t="shared" si="103"/>
        <v>0</v>
      </c>
      <c r="AX123" s="231">
        <f t="shared" si="104"/>
        <v>0</v>
      </c>
      <c r="AY123" s="231">
        <f t="shared" si="105"/>
        <v>0</v>
      </c>
      <c r="AZ123" s="231">
        <f t="shared" si="106"/>
        <v>0</v>
      </c>
      <c r="BA123" s="231">
        <f t="shared" si="107"/>
        <v>0</v>
      </c>
      <c r="BB123" s="231">
        <f t="shared" si="108"/>
        <v>0</v>
      </c>
      <c r="BC123" s="231">
        <f t="shared" si="109"/>
        <v>0</v>
      </c>
      <c r="BD123" s="231">
        <f t="shared" si="110"/>
        <v>0</v>
      </c>
      <c r="BE123" s="232">
        <f t="shared" si="111"/>
        <v>0</v>
      </c>
      <c r="BF123" s="225">
        <v>40379</v>
      </c>
      <c r="BG123" s="234">
        <f t="shared" si="115"/>
        <v>0</v>
      </c>
      <c r="BH123" s="235">
        <f t="shared" si="116"/>
        <v>0</v>
      </c>
      <c r="BI123" s="235">
        <f t="shared" si="117"/>
        <v>0</v>
      </c>
      <c r="BJ123" s="235">
        <f t="shared" si="118"/>
        <v>0</v>
      </c>
      <c r="BK123" s="235">
        <f t="shared" si="119"/>
        <v>0</v>
      </c>
      <c r="BL123" s="235">
        <f t="shared" si="120"/>
        <v>0</v>
      </c>
      <c r="BM123" s="235">
        <f t="shared" si="121"/>
        <v>0</v>
      </c>
      <c r="BN123" s="235">
        <f t="shared" si="122"/>
        <v>0</v>
      </c>
      <c r="BO123" s="235">
        <f t="shared" si="123"/>
        <v>0</v>
      </c>
      <c r="BP123" s="235">
        <f t="shared" si="124"/>
        <v>0</v>
      </c>
      <c r="BQ123" s="235">
        <f t="shared" si="125"/>
        <v>0</v>
      </c>
      <c r="BR123" s="235">
        <f t="shared" si="126"/>
        <v>0</v>
      </c>
      <c r="BS123" s="235">
        <f t="shared" si="127"/>
        <v>0</v>
      </c>
      <c r="BT123" s="235">
        <f t="shared" si="128"/>
        <v>0</v>
      </c>
      <c r="BU123" s="235">
        <f t="shared" si="129"/>
        <v>0</v>
      </c>
      <c r="BV123" s="235">
        <f t="shared" si="130"/>
        <v>0</v>
      </c>
      <c r="BW123" s="236">
        <f t="shared" si="131"/>
        <v>0</v>
      </c>
    </row>
    <row r="124" spans="1:75" s="587" customFormat="1">
      <c r="A124" s="580">
        <v>40410</v>
      </c>
      <c r="B124" s="590"/>
      <c r="C124" s="577">
        <f t="shared" ref="C124:S124" si="136">ROUND((C41-C42),2)</f>
        <v>0</v>
      </c>
      <c r="D124" s="577">
        <f t="shared" si="136"/>
        <v>0</v>
      </c>
      <c r="E124" s="577">
        <f t="shared" si="136"/>
        <v>0</v>
      </c>
      <c r="F124" s="684">
        <f t="shared" si="136"/>
        <v>25592965.039999999</v>
      </c>
      <c r="G124" s="684">
        <f t="shared" si="136"/>
        <v>9513992.6899999995</v>
      </c>
      <c r="H124" s="684">
        <f t="shared" si="136"/>
        <v>60898208.619999997</v>
      </c>
      <c r="I124" s="684">
        <f t="shared" si="136"/>
        <v>38739265.850000001</v>
      </c>
      <c r="J124" s="684">
        <f t="shared" si="136"/>
        <v>38276419.509999998</v>
      </c>
      <c r="K124" s="577">
        <f t="shared" si="136"/>
        <v>0</v>
      </c>
      <c r="L124" s="577">
        <f t="shared" si="136"/>
        <v>0</v>
      </c>
      <c r="M124" s="577">
        <f t="shared" si="136"/>
        <v>0</v>
      </c>
      <c r="N124" s="577">
        <f t="shared" si="136"/>
        <v>0</v>
      </c>
      <c r="O124" s="577">
        <f t="shared" si="136"/>
        <v>0</v>
      </c>
      <c r="P124" s="577">
        <f t="shared" si="136"/>
        <v>0</v>
      </c>
      <c r="Q124" s="577">
        <f t="shared" si="136"/>
        <v>0</v>
      </c>
      <c r="R124" s="577">
        <f t="shared" si="136"/>
        <v>0</v>
      </c>
      <c r="S124" s="577">
        <f t="shared" si="136"/>
        <v>0</v>
      </c>
      <c r="T124" s="591">
        <f>SUM(C124:S124)</f>
        <v>173020851.70999998</v>
      </c>
      <c r="U124" s="580">
        <v>40410</v>
      </c>
      <c r="V124" s="580"/>
      <c r="W124" s="581"/>
      <c r="X124" s="581"/>
      <c r="Y124" s="593">
        <v>25592965.039999999</v>
      </c>
      <c r="Z124" s="593">
        <v>9513992.6899999995</v>
      </c>
      <c r="AA124" s="593">
        <v>60898208.619999997</v>
      </c>
      <c r="AB124" s="593">
        <v>38739265.850000001</v>
      </c>
      <c r="AC124" s="593">
        <v>38276419.509999998</v>
      </c>
      <c r="AD124" s="581"/>
      <c r="AE124" s="581"/>
      <c r="AF124" s="581"/>
      <c r="AG124" s="581"/>
      <c r="AH124" s="581"/>
      <c r="AI124" s="581"/>
      <c r="AJ124" s="581"/>
      <c r="AK124" s="581"/>
      <c r="AL124" s="581"/>
      <c r="AM124" s="582"/>
      <c r="AN124" s="580">
        <v>40410</v>
      </c>
      <c r="AO124" s="583">
        <f t="shared" si="95"/>
        <v>0</v>
      </c>
      <c r="AP124" s="581">
        <f t="shared" si="96"/>
        <v>0</v>
      </c>
      <c r="AQ124" s="581">
        <f t="shared" si="97"/>
        <v>0</v>
      </c>
      <c r="AR124" s="581">
        <f t="shared" si="98"/>
        <v>0</v>
      </c>
      <c r="AS124" s="581">
        <f t="shared" si="99"/>
        <v>0</v>
      </c>
      <c r="AT124" s="581">
        <f t="shared" si="100"/>
        <v>0</v>
      </c>
      <c r="AU124" s="581">
        <f t="shared" si="101"/>
        <v>0</v>
      </c>
      <c r="AV124" s="581">
        <f t="shared" si="102"/>
        <v>0</v>
      </c>
      <c r="AW124" s="581">
        <f t="shared" si="103"/>
        <v>0</v>
      </c>
      <c r="AX124" s="581">
        <f t="shared" si="104"/>
        <v>0</v>
      </c>
      <c r="AY124" s="581">
        <f t="shared" si="105"/>
        <v>0</v>
      </c>
      <c r="AZ124" s="581">
        <f t="shared" si="106"/>
        <v>0</v>
      </c>
      <c r="BA124" s="581">
        <f t="shared" si="107"/>
        <v>0</v>
      </c>
      <c r="BB124" s="581">
        <f t="shared" si="108"/>
        <v>0</v>
      </c>
      <c r="BC124" s="581">
        <f t="shared" si="109"/>
        <v>0</v>
      </c>
      <c r="BD124" s="581">
        <f t="shared" si="110"/>
        <v>0</v>
      </c>
      <c r="BE124" s="582">
        <f t="shared" si="111"/>
        <v>0</v>
      </c>
      <c r="BF124" s="580">
        <v>40410</v>
      </c>
      <c r="BG124" s="592">
        <f t="shared" si="115"/>
        <v>0</v>
      </c>
      <c r="BH124" s="593">
        <f t="shared" si="116"/>
        <v>0</v>
      </c>
      <c r="BI124" s="593">
        <f t="shared" si="117"/>
        <v>0</v>
      </c>
      <c r="BJ124" s="593">
        <f t="shared" si="118"/>
        <v>0</v>
      </c>
      <c r="BK124" s="593">
        <f t="shared" si="119"/>
        <v>0</v>
      </c>
      <c r="BL124" s="593">
        <f t="shared" si="120"/>
        <v>0</v>
      </c>
      <c r="BM124" s="593">
        <f t="shared" si="121"/>
        <v>0</v>
      </c>
      <c r="BN124" s="593">
        <f t="shared" si="122"/>
        <v>0</v>
      </c>
      <c r="BO124" s="593">
        <f t="shared" si="123"/>
        <v>0</v>
      </c>
      <c r="BP124" s="593">
        <f t="shared" si="124"/>
        <v>0</v>
      </c>
      <c r="BQ124" s="593">
        <f t="shared" si="125"/>
        <v>0</v>
      </c>
      <c r="BR124" s="593">
        <f t="shared" si="126"/>
        <v>0</v>
      </c>
      <c r="BS124" s="593">
        <f t="shared" si="127"/>
        <v>0</v>
      </c>
      <c r="BT124" s="593">
        <f t="shared" si="128"/>
        <v>0</v>
      </c>
      <c r="BU124" s="593">
        <f t="shared" si="129"/>
        <v>0</v>
      </c>
      <c r="BV124" s="593">
        <f t="shared" si="130"/>
        <v>0</v>
      </c>
      <c r="BW124" s="594">
        <f t="shared" si="131"/>
        <v>0</v>
      </c>
    </row>
    <row r="125" spans="1:75">
      <c r="A125" s="225">
        <v>40441</v>
      </c>
      <c r="B125" s="237"/>
      <c r="C125" s="230">
        <f t="shared" ref="C125:S125" si="137">ROUND((C42-C43),2)</f>
        <v>0</v>
      </c>
      <c r="D125" s="230">
        <f t="shared" si="137"/>
        <v>0</v>
      </c>
      <c r="E125" s="230">
        <f t="shared" si="137"/>
        <v>0</v>
      </c>
      <c r="F125" s="230">
        <f t="shared" si="137"/>
        <v>0</v>
      </c>
      <c r="G125" s="230">
        <f t="shared" si="137"/>
        <v>0</v>
      </c>
      <c r="H125" s="230">
        <f t="shared" si="137"/>
        <v>0</v>
      </c>
      <c r="I125" s="230">
        <f t="shared" si="137"/>
        <v>0</v>
      </c>
      <c r="J125" s="230">
        <f t="shared" si="137"/>
        <v>0</v>
      </c>
      <c r="K125" s="230">
        <f t="shared" si="137"/>
        <v>0</v>
      </c>
      <c r="L125" s="230">
        <f t="shared" si="137"/>
        <v>0</v>
      </c>
      <c r="M125" s="230">
        <f t="shared" si="137"/>
        <v>0</v>
      </c>
      <c r="N125" s="230">
        <f t="shared" si="137"/>
        <v>0</v>
      </c>
      <c r="O125" s="230">
        <f t="shared" si="137"/>
        <v>0</v>
      </c>
      <c r="P125" s="230">
        <f t="shared" si="137"/>
        <v>0</v>
      </c>
      <c r="Q125" s="230">
        <f t="shared" si="137"/>
        <v>0</v>
      </c>
      <c r="R125" s="230">
        <f t="shared" si="137"/>
        <v>0</v>
      </c>
      <c r="S125" s="230">
        <f t="shared" si="137"/>
        <v>0</v>
      </c>
      <c r="T125" s="209">
        <f t="shared" si="113"/>
        <v>0</v>
      </c>
      <c r="U125" s="225">
        <v>40441</v>
      </c>
      <c r="V125" s="225"/>
      <c r="W125" s="231"/>
      <c r="X125" s="231"/>
      <c r="Y125" s="231"/>
      <c r="Z125" s="231"/>
      <c r="AA125" s="231"/>
      <c r="AB125" s="231"/>
      <c r="AC125" s="231"/>
      <c r="AD125" s="231"/>
      <c r="AE125" s="231"/>
      <c r="AF125" s="231"/>
      <c r="AG125" s="231"/>
      <c r="AH125" s="231"/>
      <c r="AI125" s="231"/>
      <c r="AJ125" s="231"/>
      <c r="AK125" s="231"/>
      <c r="AL125" s="231"/>
      <c r="AM125" s="232"/>
      <c r="AN125" s="225">
        <v>40441</v>
      </c>
      <c r="AO125" s="233">
        <f t="shared" si="95"/>
        <v>0</v>
      </c>
      <c r="AP125" s="231">
        <f t="shared" si="96"/>
        <v>0</v>
      </c>
      <c r="AQ125" s="231">
        <f t="shared" si="97"/>
        <v>0</v>
      </c>
      <c r="AR125" s="231">
        <f t="shared" si="98"/>
        <v>0</v>
      </c>
      <c r="AS125" s="231">
        <f t="shared" si="99"/>
        <v>0</v>
      </c>
      <c r="AT125" s="231">
        <f t="shared" si="100"/>
        <v>0</v>
      </c>
      <c r="AU125" s="231">
        <f t="shared" si="101"/>
        <v>0</v>
      </c>
      <c r="AV125" s="231">
        <f t="shared" si="102"/>
        <v>0</v>
      </c>
      <c r="AW125" s="231">
        <f t="shared" si="103"/>
        <v>0</v>
      </c>
      <c r="AX125" s="231">
        <f t="shared" si="104"/>
        <v>0</v>
      </c>
      <c r="AY125" s="231">
        <f t="shared" si="105"/>
        <v>0</v>
      </c>
      <c r="AZ125" s="231">
        <f t="shared" si="106"/>
        <v>0</v>
      </c>
      <c r="BA125" s="231">
        <f t="shared" si="107"/>
        <v>0</v>
      </c>
      <c r="BB125" s="231">
        <f t="shared" si="108"/>
        <v>0</v>
      </c>
      <c r="BC125" s="231">
        <f t="shared" si="109"/>
        <v>0</v>
      </c>
      <c r="BD125" s="231">
        <f t="shared" si="110"/>
        <v>0</v>
      </c>
      <c r="BE125" s="232">
        <f t="shared" si="111"/>
        <v>0</v>
      </c>
      <c r="BF125" s="225">
        <v>40441</v>
      </c>
      <c r="BG125" s="234">
        <f t="shared" si="115"/>
        <v>0</v>
      </c>
      <c r="BH125" s="235">
        <f t="shared" si="116"/>
        <v>0</v>
      </c>
      <c r="BI125" s="235">
        <f t="shared" si="117"/>
        <v>0</v>
      </c>
      <c r="BJ125" s="235">
        <f t="shared" si="118"/>
        <v>0</v>
      </c>
      <c r="BK125" s="235">
        <f t="shared" si="119"/>
        <v>0</v>
      </c>
      <c r="BL125" s="235">
        <f t="shared" si="120"/>
        <v>0</v>
      </c>
      <c r="BM125" s="235">
        <f t="shared" si="121"/>
        <v>0</v>
      </c>
      <c r="BN125" s="235">
        <f t="shared" si="122"/>
        <v>0</v>
      </c>
      <c r="BO125" s="235">
        <f t="shared" si="123"/>
        <v>0</v>
      </c>
      <c r="BP125" s="235">
        <f t="shared" si="124"/>
        <v>0</v>
      </c>
      <c r="BQ125" s="235">
        <f t="shared" si="125"/>
        <v>0</v>
      </c>
      <c r="BR125" s="235">
        <f t="shared" si="126"/>
        <v>0</v>
      </c>
      <c r="BS125" s="235">
        <f t="shared" si="127"/>
        <v>0</v>
      </c>
      <c r="BT125" s="235">
        <f t="shared" si="128"/>
        <v>0</v>
      </c>
      <c r="BU125" s="235">
        <f t="shared" si="129"/>
        <v>0</v>
      </c>
      <c r="BV125" s="235">
        <f t="shared" si="130"/>
        <v>0</v>
      </c>
      <c r="BW125" s="236">
        <f t="shared" si="131"/>
        <v>0</v>
      </c>
    </row>
    <row r="126" spans="1:75">
      <c r="A126" s="225">
        <v>40471</v>
      </c>
      <c r="B126" s="237"/>
      <c r="C126" s="230">
        <f t="shared" ref="C126:S126" si="138">ROUND((C43-C44),2)</f>
        <v>0</v>
      </c>
      <c r="D126" s="230">
        <f t="shared" si="138"/>
        <v>0</v>
      </c>
      <c r="E126" s="230">
        <f t="shared" si="138"/>
        <v>0</v>
      </c>
      <c r="F126" s="230">
        <f t="shared" si="138"/>
        <v>0</v>
      </c>
      <c r="G126" s="230">
        <f t="shared" si="138"/>
        <v>0</v>
      </c>
      <c r="H126" s="230">
        <f t="shared" si="138"/>
        <v>0</v>
      </c>
      <c r="I126" s="230">
        <f t="shared" si="138"/>
        <v>0</v>
      </c>
      <c r="J126" s="230">
        <f t="shared" si="138"/>
        <v>0</v>
      </c>
      <c r="K126" s="230">
        <f t="shared" si="138"/>
        <v>0</v>
      </c>
      <c r="L126" s="230">
        <f t="shared" si="138"/>
        <v>0</v>
      </c>
      <c r="M126" s="230">
        <f t="shared" si="138"/>
        <v>0</v>
      </c>
      <c r="N126" s="230">
        <f t="shared" si="138"/>
        <v>0</v>
      </c>
      <c r="O126" s="230">
        <f t="shared" si="138"/>
        <v>0</v>
      </c>
      <c r="P126" s="230">
        <f t="shared" si="138"/>
        <v>0</v>
      </c>
      <c r="Q126" s="230">
        <f t="shared" si="138"/>
        <v>0</v>
      </c>
      <c r="R126" s="230">
        <f t="shared" si="138"/>
        <v>0</v>
      </c>
      <c r="S126" s="230">
        <f t="shared" si="138"/>
        <v>0</v>
      </c>
      <c r="T126" s="209">
        <f t="shared" si="113"/>
        <v>0</v>
      </c>
      <c r="U126" s="225">
        <v>40471</v>
      </c>
      <c r="V126" s="225"/>
      <c r="W126" s="231"/>
      <c r="X126" s="231"/>
      <c r="Y126" s="231"/>
      <c r="Z126" s="231"/>
      <c r="AA126" s="231"/>
      <c r="AB126" s="231"/>
      <c r="AC126" s="231"/>
      <c r="AD126" s="231"/>
      <c r="AE126" s="231"/>
      <c r="AF126" s="231"/>
      <c r="AG126" s="231"/>
      <c r="AH126" s="231"/>
      <c r="AI126" s="231"/>
      <c r="AJ126" s="231"/>
      <c r="AK126" s="231"/>
      <c r="AL126" s="231"/>
      <c r="AM126" s="232"/>
      <c r="AN126" s="225">
        <v>40471</v>
      </c>
      <c r="AO126" s="233">
        <f t="shared" si="95"/>
        <v>0</v>
      </c>
      <c r="AP126" s="231">
        <f t="shared" si="96"/>
        <v>0</v>
      </c>
      <c r="AQ126" s="231">
        <f t="shared" si="97"/>
        <v>0</v>
      </c>
      <c r="AR126" s="231">
        <f t="shared" si="98"/>
        <v>0</v>
      </c>
      <c r="AS126" s="231">
        <f t="shared" si="99"/>
        <v>0</v>
      </c>
      <c r="AT126" s="231">
        <f t="shared" si="100"/>
        <v>0</v>
      </c>
      <c r="AU126" s="231">
        <f t="shared" si="101"/>
        <v>0</v>
      </c>
      <c r="AV126" s="231">
        <f t="shared" si="102"/>
        <v>0</v>
      </c>
      <c r="AW126" s="231">
        <f t="shared" si="103"/>
        <v>0</v>
      </c>
      <c r="AX126" s="231">
        <f t="shared" si="104"/>
        <v>0</v>
      </c>
      <c r="AY126" s="231">
        <f t="shared" si="105"/>
        <v>0</v>
      </c>
      <c r="AZ126" s="231">
        <f t="shared" si="106"/>
        <v>0</v>
      </c>
      <c r="BA126" s="231">
        <f t="shared" si="107"/>
        <v>0</v>
      </c>
      <c r="BB126" s="231">
        <f t="shared" si="108"/>
        <v>0</v>
      </c>
      <c r="BC126" s="231">
        <f t="shared" si="109"/>
        <v>0</v>
      </c>
      <c r="BD126" s="231">
        <f t="shared" si="110"/>
        <v>0</v>
      </c>
      <c r="BE126" s="232">
        <f t="shared" si="111"/>
        <v>0</v>
      </c>
      <c r="BF126" s="225">
        <v>40471</v>
      </c>
      <c r="BG126" s="234">
        <f t="shared" si="115"/>
        <v>0</v>
      </c>
      <c r="BH126" s="235">
        <f t="shared" si="116"/>
        <v>0</v>
      </c>
      <c r="BI126" s="235">
        <f t="shared" si="117"/>
        <v>0</v>
      </c>
      <c r="BJ126" s="235">
        <f t="shared" si="118"/>
        <v>0</v>
      </c>
      <c r="BK126" s="235">
        <f t="shared" si="119"/>
        <v>0</v>
      </c>
      <c r="BL126" s="235">
        <f t="shared" si="120"/>
        <v>0</v>
      </c>
      <c r="BM126" s="235">
        <f t="shared" si="121"/>
        <v>0</v>
      </c>
      <c r="BN126" s="235">
        <f t="shared" si="122"/>
        <v>0</v>
      </c>
      <c r="BO126" s="235">
        <f t="shared" si="123"/>
        <v>0</v>
      </c>
      <c r="BP126" s="235">
        <f t="shared" si="124"/>
        <v>0</v>
      </c>
      <c r="BQ126" s="235">
        <f t="shared" si="125"/>
        <v>0</v>
      </c>
      <c r="BR126" s="235">
        <f t="shared" si="126"/>
        <v>0</v>
      </c>
      <c r="BS126" s="235">
        <f t="shared" si="127"/>
        <v>0</v>
      </c>
      <c r="BT126" s="235">
        <f t="shared" si="128"/>
        <v>0</v>
      </c>
      <c r="BU126" s="235">
        <f t="shared" si="129"/>
        <v>0</v>
      </c>
      <c r="BV126" s="235">
        <f t="shared" si="130"/>
        <v>0</v>
      </c>
      <c r="BW126" s="236">
        <f t="shared" si="131"/>
        <v>0</v>
      </c>
    </row>
    <row r="127" spans="1:75" s="587" customFormat="1">
      <c r="A127" s="580">
        <v>40504</v>
      </c>
      <c r="B127" s="590"/>
      <c r="C127" s="577">
        <f t="shared" ref="C127:S127" si="139">ROUND((C44-C45),2)</f>
        <v>0</v>
      </c>
      <c r="D127" s="577">
        <f t="shared" si="139"/>
        <v>0</v>
      </c>
      <c r="E127" s="577">
        <f t="shared" si="139"/>
        <v>0</v>
      </c>
      <c r="F127" s="577">
        <f t="shared" si="139"/>
        <v>0</v>
      </c>
      <c r="G127" s="577">
        <f t="shared" si="139"/>
        <v>0</v>
      </c>
      <c r="H127" s="684">
        <f t="shared" si="139"/>
        <v>72243216.060000002</v>
      </c>
      <c r="I127" s="684">
        <f t="shared" si="139"/>
        <v>45956181.899999999</v>
      </c>
      <c r="J127" s="684">
        <f t="shared" si="139"/>
        <v>45407109.789999999</v>
      </c>
      <c r="K127" s="577">
        <f t="shared" si="139"/>
        <v>0</v>
      </c>
      <c r="L127" s="577">
        <f t="shared" si="139"/>
        <v>0</v>
      </c>
      <c r="M127" s="577">
        <f t="shared" si="139"/>
        <v>0</v>
      </c>
      <c r="N127" s="577">
        <f t="shared" si="139"/>
        <v>0</v>
      </c>
      <c r="O127" s="577">
        <f t="shared" si="139"/>
        <v>0</v>
      </c>
      <c r="P127" s="577">
        <f t="shared" si="139"/>
        <v>0</v>
      </c>
      <c r="Q127" s="577">
        <f t="shared" si="139"/>
        <v>0</v>
      </c>
      <c r="R127" s="577">
        <f t="shared" si="139"/>
        <v>0</v>
      </c>
      <c r="S127" s="577">
        <f t="shared" si="139"/>
        <v>0</v>
      </c>
      <c r="T127" s="591">
        <f t="shared" si="113"/>
        <v>163606507.75</v>
      </c>
      <c r="U127" s="580">
        <v>40504</v>
      </c>
      <c r="V127" s="580"/>
      <c r="W127" s="581"/>
      <c r="X127" s="581"/>
      <c r="Y127" s="581"/>
      <c r="Z127" s="581"/>
      <c r="AA127" s="593">
        <v>72243216.060000002</v>
      </c>
      <c r="AB127" s="593">
        <v>45956181.899999999</v>
      </c>
      <c r="AC127" s="593">
        <v>45407109.789999999</v>
      </c>
      <c r="AD127" s="581"/>
      <c r="AE127" s="581"/>
      <c r="AF127" s="581"/>
      <c r="AG127" s="581"/>
      <c r="AH127" s="581"/>
      <c r="AI127" s="581"/>
      <c r="AJ127" s="581"/>
      <c r="AK127" s="581"/>
      <c r="AL127" s="581"/>
      <c r="AM127" s="582"/>
      <c r="AN127" s="580">
        <v>40504</v>
      </c>
      <c r="AO127" s="583">
        <f t="shared" si="95"/>
        <v>0</v>
      </c>
      <c r="AP127" s="581">
        <f t="shared" si="96"/>
        <v>0</v>
      </c>
      <c r="AQ127" s="581">
        <f t="shared" si="97"/>
        <v>0</v>
      </c>
      <c r="AR127" s="581">
        <f t="shared" si="98"/>
        <v>0</v>
      </c>
      <c r="AS127" s="581">
        <f t="shared" si="99"/>
        <v>0</v>
      </c>
      <c r="AT127" s="581">
        <f t="shared" si="100"/>
        <v>0</v>
      </c>
      <c r="AU127" s="581">
        <f t="shared" si="101"/>
        <v>0</v>
      </c>
      <c r="AV127" s="581">
        <f t="shared" si="102"/>
        <v>0</v>
      </c>
      <c r="AW127" s="581">
        <f t="shared" si="103"/>
        <v>0</v>
      </c>
      <c r="AX127" s="581">
        <f t="shared" si="104"/>
        <v>0</v>
      </c>
      <c r="AY127" s="581">
        <f t="shared" si="105"/>
        <v>0</v>
      </c>
      <c r="AZ127" s="581">
        <f t="shared" si="106"/>
        <v>0</v>
      </c>
      <c r="BA127" s="581">
        <f t="shared" si="107"/>
        <v>0</v>
      </c>
      <c r="BB127" s="581">
        <f t="shared" si="108"/>
        <v>0</v>
      </c>
      <c r="BC127" s="581">
        <f t="shared" si="109"/>
        <v>0</v>
      </c>
      <c r="BD127" s="581">
        <f t="shared" si="110"/>
        <v>0</v>
      </c>
      <c r="BE127" s="582">
        <f t="shared" si="111"/>
        <v>0</v>
      </c>
      <c r="BF127" s="580">
        <v>40504</v>
      </c>
      <c r="BG127" s="592">
        <f t="shared" si="115"/>
        <v>0</v>
      </c>
      <c r="BH127" s="593">
        <f t="shared" si="116"/>
        <v>0</v>
      </c>
      <c r="BI127" s="593">
        <f t="shared" si="117"/>
        <v>0</v>
      </c>
      <c r="BJ127" s="593">
        <f t="shared" si="118"/>
        <v>0</v>
      </c>
      <c r="BK127" s="593">
        <f t="shared" si="119"/>
        <v>0</v>
      </c>
      <c r="BL127" s="593">
        <f t="shared" si="120"/>
        <v>0</v>
      </c>
      <c r="BM127" s="593">
        <f t="shared" si="121"/>
        <v>0</v>
      </c>
      <c r="BN127" s="593">
        <f t="shared" si="122"/>
        <v>0</v>
      </c>
      <c r="BO127" s="593">
        <f t="shared" si="123"/>
        <v>0</v>
      </c>
      <c r="BP127" s="593">
        <f t="shared" si="124"/>
        <v>0</v>
      </c>
      <c r="BQ127" s="593">
        <f t="shared" si="125"/>
        <v>0</v>
      </c>
      <c r="BR127" s="593">
        <f t="shared" si="126"/>
        <v>0</v>
      </c>
      <c r="BS127" s="593">
        <f t="shared" si="127"/>
        <v>0</v>
      </c>
      <c r="BT127" s="593">
        <f t="shared" si="128"/>
        <v>0</v>
      </c>
      <c r="BU127" s="593">
        <f t="shared" si="129"/>
        <v>0</v>
      </c>
      <c r="BV127" s="593">
        <f t="shared" si="130"/>
        <v>0</v>
      </c>
      <c r="BW127" s="594">
        <f t="shared" si="131"/>
        <v>0</v>
      </c>
    </row>
    <row r="128" spans="1:75">
      <c r="A128" s="225">
        <v>40532</v>
      </c>
      <c r="B128" s="237"/>
      <c r="C128" s="230">
        <f t="shared" ref="C128:S128" si="140">ROUND((C45-C46),2)</f>
        <v>0</v>
      </c>
      <c r="D128" s="230">
        <f t="shared" si="140"/>
        <v>0</v>
      </c>
      <c r="E128" s="230">
        <f t="shared" si="140"/>
        <v>0</v>
      </c>
      <c r="F128" s="230">
        <f t="shared" si="140"/>
        <v>0</v>
      </c>
      <c r="G128" s="230">
        <f t="shared" si="140"/>
        <v>0</v>
      </c>
      <c r="H128" s="230">
        <f t="shared" si="140"/>
        <v>0</v>
      </c>
      <c r="I128" s="230">
        <f t="shared" si="140"/>
        <v>0</v>
      </c>
      <c r="J128" s="230">
        <f t="shared" si="140"/>
        <v>0</v>
      </c>
      <c r="K128" s="230">
        <f t="shared" si="140"/>
        <v>0</v>
      </c>
      <c r="L128" s="230">
        <f t="shared" si="140"/>
        <v>0</v>
      </c>
      <c r="M128" s="230">
        <f t="shared" si="140"/>
        <v>0</v>
      </c>
      <c r="N128" s="230">
        <f t="shared" si="140"/>
        <v>0</v>
      </c>
      <c r="O128" s="230">
        <f t="shared" si="140"/>
        <v>0</v>
      </c>
      <c r="P128" s="230">
        <f t="shared" si="140"/>
        <v>0</v>
      </c>
      <c r="Q128" s="230">
        <f t="shared" si="140"/>
        <v>0</v>
      </c>
      <c r="R128" s="230">
        <f t="shared" si="140"/>
        <v>0</v>
      </c>
      <c r="S128" s="230">
        <f t="shared" si="140"/>
        <v>0</v>
      </c>
      <c r="T128" s="209">
        <f t="shared" si="113"/>
        <v>0</v>
      </c>
      <c r="U128" s="225">
        <v>40532</v>
      </c>
      <c r="V128" s="225"/>
      <c r="W128" s="231"/>
      <c r="X128" s="231"/>
      <c r="Y128" s="231"/>
      <c r="Z128" s="231"/>
      <c r="AA128" s="231"/>
      <c r="AB128" s="231"/>
      <c r="AC128" s="231"/>
      <c r="AD128" s="231"/>
      <c r="AE128" s="231"/>
      <c r="AF128" s="231"/>
      <c r="AG128" s="231"/>
      <c r="AH128" s="231"/>
      <c r="AI128" s="231"/>
      <c r="AJ128" s="231"/>
      <c r="AK128" s="231"/>
      <c r="AL128" s="231"/>
      <c r="AM128" s="232"/>
      <c r="AN128" s="225">
        <v>40532</v>
      </c>
      <c r="AO128" s="233">
        <f t="shared" si="95"/>
        <v>0</v>
      </c>
      <c r="AP128" s="231">
        <f t="shared" si="96"/>
        <v>0</v>
      </c>
      <c r="AQ128" s="231">
        <f t="shared" si="97"/>
        <v>0</v>
      </c>
      <c r="AR128" s="231">
        <f t="shared" si="98"/>
        <v>0</v>
      </c>
      <c r="AS128" s="231">
        <f t="shared" si="99"/>
        <v>0</v>
      </c>
      <c r="AT128" s="231">
        <f t="shared" si="100"/>
        <v>0</v>
      </c>
      <c r="AU128" s="231">
        <f t="shared" si="101"/>
        <v>0</v>
      </c>
      <c r="AV128" s="231">
        <f t="shared" si="102"/>
        <v>0</v>
      </c>
      <c r="AW128" s="231">
        <f t="shared" si="103"/>
        <v>0</v>
      </c>
      <c r="AX128" s="231">
        <f t="shared" si="104"/>
        <v>0</v>
      </c>
      <c r="AY128" s="231">
        <f t="shared" si="105"/>
        <v>0</v>
      </c>
      <c r="AZ128" s="231">
        <f t="shared" si="106"/>
        <v>0</v>
      </c>
      <c r="BA128" s="231">
        <f t="shared" si="107"/>
        <v>0</v>
      </c>
      <c r="BB128" s="231">
        <f t="shared" si="108"/>
        <v>0</v>
      </c>
      <c r="BC128" s="231">
        <f t="shared" si="109"/>
        <v>0</v>
      </c>
      <c r="BD128" s="231">
        <f t="shared" si="110"/>
        <v>0</v>
      </c>
      <c r="BE128" s="232">
        <f t="shared" si="111"/>
        <v>0</v>
      </c>
      <c r="BF128" s="225">
        <v>40532</v>
      </c>
      <c r="BG128" s="234">
        <f t="shared" si="115"/>
        <v>0</v>
      </c>
      <c r="BH128" s="235">
        <f t="shared" si="116"/>
        <v>0</v>
      </c>
      <c r="BI128" s="235">
        <f t="shared" si="117"/>
        <v>0</v>
      </c>
      <c r="BJ128" s="235">
        <f t="shared" si="118"/>
        <v>0</v>
      </c>
      <c r="BK128" s="235">
        <f t="shared" si="119"/>
        <v>0</v>
      </c>
      <c r="BL128" s="235">
        <f t="shared" si="120"/>
        <v>0</v>
      </c>
      <c r="BM128" s="235">
        <f t="shared" si="121"/>
        <v>0</v>
      </c>
      <c r="BN128" s="235">
        <f t="shared" si="122"/>
        <v>0</v>
      </c>
      <c r="BO128" s="235">
        <f t="shared" si="123"/>
        <v>0</v>
      </c>
      <c r="BP128" s="235">
        <f t="shared" si="124"/>
        <v>0</v>
      </c>
      <c r="BQ128" s="235">
        <f t="shared" si="125"/>
        <v>0</v>
      </c>
      <c r="BR128" s="235">
        <f t="shared" si="126"/>
        <v>0</v>
      </c>
      <c r="BS128" s="235">
        <f t="shared" si="127"/>
        <v>0</v>
      </c>
      <c r="BT128" s="235">
        <f t="shared" si="128"/>
        <v>0</v>
      </c>
      <c r="BU128" s="235">
        <f t="shared" si="129"/>
        <v>0</v>
      </c>
      <c r="BV128" s="235">
        <f t="shared" si="130"/>
        <v>0</v>
      </c>
      <c r="BW128" s="236">
        <f t="shared" si="131"/>
        <v>0</v>
      </c>
    </row>
    <row r="129" spans="1:75">
      <c r="A129" s="225">
        <v>40563</v>
      </c>
      <c r="B129" s="237"/>
      <c r="C129" s="230">
        <f t="shared" ref="C129:S129" si="141">ROUND((C46-C47),2)</f>
        <v>0</v>
      </c>
      <c r="D129" s="230">
        <f t="shared" si="141"/>
        <v>0</v>
      </c>
      <c r="E129" s="230">
        <f t="shared" si="141"/>
        <v>0</v>
      </c>
      <c r="F129" s="230">
        <f t="shared" si="141"/>
        <v>0</v>
      </c>
      <c r="G129" s="230">
        <f t="shared" si="141"/>
        <v>0</v>
      </c>
      <c r="H129" s="230">
        <f t="shared" si="141"/>
        <v>0</v>
      </c>
      <c r="I129" s="230">
        <f t="shared" si="141"/>
        <v>0</v>
      </c>
      <c r="J129" s="230">
        <f t="shared" si="141"/>
        <v>0</v>
      </c>
      <c r="K129" s="230">
        <f t="shared" si="141"/>
        <v>0</v>
      </c>
      <c r="L129" s="230">
        <f t="shared" si="141"/>
        <v>0</v>
      </c>
      <c r="M129" s="230">
        <f t="shared" si="141"/>
        <v>0</v>
      </c>
      <c r="N129" s="230">
        <f t="shared" si="141"/>
        <v>0</v>
      </c>
      <c r="O129" s="230">
        <f t="shared" si="141"/>
        <v>0</v>
      </c>
      <c r="P129" s="230">
        <f t="shared" si="141"/>
        <v>0</v>
      </c>
      <c r="Q129" s="230">
        <f t="shared" si="141"/>
        <v>0</v>
      </c>
      <c r="R129" s="230">
        <f t="shared" si="141"/>
        <v>0</v>
      </c>
      <c r="S129" s="230">
        <f t="shared" si="141"/>
        <v>0</v>
      </c>
      <c r="T129" s="209">
        <f t="shared" si="113"/>
        <v>0</v>
      </c>
      <c r="U129" s="225">
        <v>40563</v>
      </c>
      <c r="V129" s="225"/>
      <c r="W129" s="231"/>
      <c r="X129" s="231"/>
      <c r="Y129" s="231"/>
      <c r="Z129" s="231"/>
      <c r="AA129" s="231"/>
      <c r="AB129" s="231"/>
      <c r="AC129" s="231"/>
      <c r="AD129" s="231"/>
      <c r="AE129" s="231"/>
      <c r="AF129" s="231"/>
      <c r="AG129" s="231"/>
      <c r="AH129" s="231"/>
      <c r="AI129" s="231"/>
      <c r="AJ129" s="231"/>
      <c r="AK129" s="231"/>
      <c r="AL129" s="231"/>
      <c r="AM129" s="232"/>
      <c r="AN129" s="225">
        <v>40563</v>
      </c>
      <c r="AO129" s="233">
        <f t="shared" si="95"/>
        <v>0</v>
      </c>
      <c r="AP129" s="231">
        <f t="shared" si="96"/>
        <v>0</v>
      </c>
      <c r="AQ129" s="231">
        <f t="shared" si="97"/>
        <v>0</v>
      </c>
      <c r="AR129" s="231">
        <f t="shared" si="98"/>
        <v>0</v>
      </c>
      <c r="AS129" s="231">
        <f t="shared" si="99"/>
        <v>0</v>
      </c>
      <c r="AT129" s="231">
        <f t="shared" si="100"/>
        <v>0</v>
      </c>
      <c r="AU129" s="231">
        <f t="shared" si="101"/>
        <v>0</v>
      </c>
      <c r="AV129" s="231">
        <f t="shared" si="102"/>
        <v>0</v>
      </c>
      <c r="AW129" s="231">
        <f t="shared" si="103"/>
        <v>0</v>
      </c>
      <c r="AX129" s="231">
        <f t="shared" si="104"/>
        <v>0</v>
      </c>
      <c r="AY129" s="231">
        <f t="shared" si="105"/>
        <v>0</v>
      </c>
      <c r="AZ129" s="231">
        <f t="shared" si="106"/>
        <v>0</v>
      </c>
      <c r="BA129" s="231">
        <f t="shared" si="107"/>
        <v>0</v>
      </c>
      <c r="BB129" s="231">
        <f t="shared" si="108"/>
        <v>0</v>
      </c>
      <c r="BC129" s="231">
        <f t="shared" si="109"/>
        <v>0</v>
      </c>
      <c r="BD129" s="231">
        <f t="shared" si="110"/>
        <v>0</v>
      </c>
      <c r="BE129" s="232">
        <f t="shared" si="111"/>
        <v>0</v>
      </c>
      <c r="BF129" s="225">
        <v>40563</v>
      </c>
      <c r="BG129" s="234">
        <f t="shared" si="115"/>
        <v>0</v>
      </c>
      <c r="BH129" s="235">
        <f t="shared" si="116"/>
        <v>0</v>
      </c>
      <c r="BI129" s="235">
        <f t="shared" si="117"/>
        <v>0</v>
      </c>
      <c r="BJ129" s="235">
        <f t="shared" si="118"/>
        <v>0</v>
      </c>
      <c r="BK129" s="235">
        <f t="shared" si="119"/>
        <v>0</v>
      </c>
      <c r="BL129" s="235">
        <f t="shared" si="120"/>
        <v>0</v>
      </c>
      <c r="BM129" s="235">
        <f t="shared" si="121"/>
        <v>0</v>
      </c>
      <c r="BN129" s="235">
        <f t="shared" si="122"/>
        <v>0</v>
      </c>
      <c r="BO129" s="235">
        <f t="shared" si="123"/>
        <v>0</v>
      </c>
      <c r="BP129" s="235">
        <f t="shared" si="124"/>
        <v>0</v>
      </c>
      <c r="BQ129" s="235">
        <f t="shared" si="125"/>
        <v>0</v>
      </c>
      <c r="BR129" s="235">
        <f t="shared" si="126"/>
        <v>0</v>
      </c>
      <c r="BS129" s="235">
        <f t="shared" si="127"/>
        <v>0</v>
      </c>
      <c r="BT129" s="235">
        <f t="shared" si="128"/>
        <v>0</v>
      </c>
      <c r="BU129" s="235">
        <f t="shared" si="129"/>
        <v>0</v>
      </c>
      <c r="BV129" s="235">
        <f t="shared" si="130"/>
        <v>0</v>
      </c>
      <c r="BW129" s="236">
        <f t="shared" si="131"/>
        <v>0</v>
      </c>
    </row>
    <row r="130" spans="1:75" s="587" customFormat="1">
      <c r="A130" s="580">
        <v>40596</v>
      </c>
      <c r="B130" s="590"/>
      <c r="C130" s="577">
        <f t="shared" ref="C130:S130" si="142">ROUND((C47-C48),2)</f>
        <v>0</v>
      </c>
      <c r="D130" s="577">
        <f t="shared" si="142"/>
        <v>0</v>
      </c>
      <c r="E130" s="577">
        <f t="shared" si="142"/>
        <v>0</v>
      </c>
      <c r="F130" s="577">
        <f t="shared" si="142"/>
        <v>0</v>
      </c>
      <c r="G130" s="577">
        <f t="shared" si="142"/>
        <v>0</v>
      </c>
      <c r="H130" s="684">
        <f t="shared" si="142"/>
        <v>68323415.400000006</v>
      </c>
      <c r="I130" s="684">
        <f t="shared" si="142"/>
        <v>43462673.409999996</v>
      </c>
      <c r="J130" s="684">
        <f t="shared" si="142"/>
        <v>42943393.07</v>
      </c>
      <c r="K130" s="577">
        <f t="shared" si="142"/>
        <v>0</v>
      </c>
      <c r="L130" s="577">
        <f t="shared" si="142"/>
        <v>0</v>
      </c>
      <c r="M130" s="577">
        <f t="shared" si="142"/>
        <v>0</v>
      </c>
      <c r="N130" s="577">
        <f t="shared" si="142"/>
        <v>0</v>
      </c>
      <c r="O130" s="577">
        <f t="shared" si="142"/>
        <v>0</v>
      </c>
      <c r="P130" s="577">
        <f t="shared" si="142"/>
        <v>0</v>
      </c>
      <c r="Q130" s="577">
        <f t="shared" si="142"/>
        <v>0</v>
      </c>
      <c r="R130" s="577">
        <f t="shared" si="142"/>
        <v>0</v>
      </c>
      <c r="S130" s="577">
        <f t="shared" si="142"/>
        <v>0</v>
      </c>
      <c r="T130" s="591">
        <f t="shared" si="113"/>
        <v>154729481.88</v>
      </c>
      <c r="U130" s="580">
        <v>40596</v>
      </c>
      <c r="V130" s="580"/>
      <c r="W130" s="581"/>
      <c r="X130" s="581"/>
      <c r="Y130" s="581"/>
      <c r="Z130" s="581"/>
      <c r="AA130" s="593">
        <v>68323415.400000006</v>
      </c>
      <c r="AB130" s="593">
        <v>43462673.409999996</v>
      </c>
      <c r="AC130" s="593">
        <v>42943393.07</v>
      </c>
      <c r="AD130" s="581"/>
      <c r="AE130" s="581"/>
      <c r="AF130" s="581"/>
      <c r="AG130" s="581"/>
      <c r="AH130" s="581"/>
      <c r="AI130" s="581"/>
      <c r="AJ130" s="581"/>
      <c r="AK130" s="581"/>
      <c r="AL130" s="581"/>
      <c r="AM130" s="582"/>
      <c r="AN130" s="580">
        <v>40596</v>
      </c>
      <c r="AO130" s="583">
        <f t="shared" si="95"/>
        <v>0</v>
      </c>
      <c r="AP130" s="581">
        <f t="shared" si="96"/>
        <v>0</v>
      </c>
      <c r="AQ130" s="581">
        <f t="shared" si="97"/>
        <v>0</v>
      </c>
      <c r="AR130" s="581">
        <f t="shared" si="98"/>
        <v>0</v>
      </c>
      <c r="AS130" s="581">
        <f t="shared" si="99"/>
        <v>0</v>
      </c>
      <c r="AT130" s="581">
        <f t="shared" si="100"/>
        <v>0</v>
      </c>
      <c r="AU130" s="581">
        <f t="shared" si="101"/>
        <v>0</v>
      </c>
      <c r="AV130" s="581">
        <f t="shared" si="102"/>
        <v>0</v>
      </c>
      <c r="AW130" s="581">
        <f t="shared" si="103"/>
        <v>0</v>
      </c>
      <c r="AX130" s="581">
        <f t="shared" si="104"/>
        <v>0</v>
      </c>
      <c r="AY130" s="581">
        <f t="shared" si="105"/>
        <v>0</v>
      </c>
      <c r="AZ130" s="581">
        <f t="shared" si="106"/>
        <v>0</v>
      </c>
      <c r="BA130" s="581">
        <f t="shared" si="107"/>
        <v>0</v>
      </c>
      <c r="BB130" s="581">
        <f t="shared" si="108"/>
        <v>0</v>
      </c>
      <c r="BC130" s="581">
        <f t="shared" si="109"/>
        <v>0</v>
      </c>
      <c r="BD130" s="581">
        <f t="shared" si="110"/>
        <v>0</v>
      </c>
      <c r="BE130" s="582">
        <f t="shared" si="111"/>
        <v>0</v>
      </c>
      <c r="BF130" s="580">
        <v>40596</v>
      </c>
      <c r="BG130" s="592">
        <f t="shared" si="115"/>
        <v>0</v>
      </c>
      <c r="BH130" s="593">
        <f t="shared" si="116"/>
        <v>0</v>
      </c>
      <c r="BI130" s="593">
        <f t="shared" si="117"/>
        <v>0</v>
      </c>
      <c r="BJ130" s="593">
        <f t="shared" si="118"/>
        <v>0</v>
      </c>
      <c r="BK130" s="593">
        <f t="shared" si="119"/>
        <v>0</v>
      </c>
      <c r="BL130" s="593">
        <f t="shared" si="120"/>
        <v>0</v>
      </c>
      <c r="BM130" s="593">
        <f t="shared" si="121"/>
        <v>0</v>
      </c>
      <c r="BN130" s="593">
        <f t="shared" si="122"/>
        <v>0</v>
      </c>
      <c r="BO130" s="593">
        <f t="shared" si="123"/>
        <v>0</v>
      </c>
      <c r="BP130" s="593">
        <f t="shared" si="124"/>
        <v>0</v>
      </c>
      <c r="BQ130" s="593">
        <f t="shared" si="125"/>
        <v>0</v>
      </c>
      <c r="BR130" s="593">
        <f t="shared" si="126"/>
        <v>0</v>
      </c>
      <c r="BS130" s="593">
        <f t="shared" si="127"/>
        <v>0</v>
      </c>
      <c r="BT130" s="593">
        <f t="shared" si="128"/>
        <v>0</v>
      </c>
      <c r="BU130" s="593">
        <f t="shared" si="129"/>
        <v>0</v>
      </c>
      <c r="BV130" s="593">
        <f t="shared" si="130"/>
        <v>0</v>
      </c>
      <c r="BW130" s="594">
        <f t="shared" si="131"/>
        <v>0</v>
      </c>
    </row>
    <row r="131" spans="1:75">
      <c r="A131" s="225">
        <v>40622</v>
      </c>
      <c r="B131" s="237"/>
      <c r="C131" s="230">
        <f t="shared" ref="C131:S131" si="143">ROUND((C48-C49),2)</f>
        <v>0</v>
      </c>
      <c r="D131" s="230">
        <f t="shared" si="143"/>
        <v>0</v>
      </c>
      <c r="E131" s="230">
        <f t="shared" si="143"/>
        <v>0</v>
      </c>
      <c r="F131" s="230">
        <f t="shared" si="143"/>
        <v>0</v>
      </c>
      <c r="G131" s="230">
        <f t="shared" si="143"/>
        <v>0</v>
      </c>
      <c r="H131" s="230">
        <f t="shared" si="143"/>
        <v>0</v>
      </c>
      <c r="I131" s="230">
        <f t="shared" si="143"/>
        <v>0</v>
      </c>
      <c r="J131" s="230">
        <f t="shared" si="143"/>
        <v>0</v>
      </c>
      <c r="K131" s="230">
        <f t="shared" si="143"/>
        <v>0</v>
      </c>
      <c r="L131" s="230">
        <f t="shared" si="143"/>
        <v>0</v>
      </c>
      <c r="M131" s="230">
        <f t="shared" si="143"/>
        <v>0</v>
      </c>
      <c r="N131" s="230">
        <f t="shared" si="143"/>
        <v>0</v>
      </c>
      <c r="O131" s="230">
        <f t="shared" si="143"/>
        <v>0</v>
      </c>
      <c r="P131" s="230">
        <f t="shared" si="143"/>
        <v>0</v>
      </c>
      <c r="Q131" s="230">
        <f t="shared" si="143"/>
        <v>0</v>
      </c>
      <c r="R131" s="230">
        <f t="shared" si="143"/>
        <v>0</v>
      </c>
      <c r="S131" s="230">
        <f t="shared" si="143"/>
        <v>0</v>
      </c>
      <c r="T131" s="209">
        <f t="shared" si="113"/>
        <v>0</v>
      </c>
      <c r="U131" s="225">
        <v>40622</v>
      </c>
      <c r="V131" s="225"/>
      <c r="W131" s="231"/>
      <c r="X131" s="231"/>
      <c r="Y131" s="231"/>
      <c r="Z131" s="231"/>
      <c r="AA131" s="231"/>
      <c r="AB131" s="231"/>
      <c r="AC131" s="231"/>
      <c r="AD131" s="231"/>
      <c r="AE131" s="231"/>
      <c r="AF131" s="231"/>
      <c r="AG131" s="231"/>
      <c r="AH131" s="231"/>
      <c r="AI131" s="231"/>
      <c r="AJ131" s="231"/>
      <c r="AK131" s="231"/>
      <c r="AL131" s="231"/>
      <c r="AM131" s="232"/>
      <c r="AN131" s="225">
        <v>40622</v>
      </c>
      <c r="AO131" s="233">
        <f t="shared" si="95"/>
        <v>0</v>
      </c>
      <c r="AP131" s="231">
        <f t="shared" si="96"/>
        <v>0</v>
      </c>
      <c r="AQ131" s="231">
        <f t="shared" si="97"/>
        <v>0</v>
      </c>
      <c r="AR131" s="231">
        <f t="shared" si="98"/>
        <v>0</v>
      </c>
      <c r="AS131" s="231">
        <f t="shared" si="99"/>
        <v>0</v>
      </c>
      <c r="AT131" s="231">
        <f t="shared" si="100"/>
        <v>0</v>
      </c>
      <c r="AU131" s="231">
        <f t="shared" si="101"/>
        <v>0</v>
      </c>
      <c r="AV131" s="231">
        <f t="shared" si="102"/>
        <v>0</v>
      </c>
      <c r="AW131" s="231">
        <f t="shared" si="103"/>
        <v>0</v>
      </c>
      <c r="AX131" s="231">
        <f t="shared" si="104"/>
        <v>0</v>
      </c>
      <c r="AY131" s="231">
        <f t="shared" si="105"/>
        <v>0</v>
      </c>
      <c r="AZ131" s="231">
        <f t="shared" si="106"/>
        <v>0</v>
      </c>
      <c r="BA131" s="231">
        <f t="shared" si="107"/>
        <v>0</v>
      </c>
      <c r="BB131" s="231">
        <f t="shared" si="108"/>
        <v>0</v>
      </c>
      <c r="BC131" s="231">
        <f t="shared" si="109"/>
        <v>0</v>
      </c>
      <c r="BD131" s="231">
        <f t="shared" si="110"/>
        <v>0</v>
      </c>
      <c r="BE131" s="232">
        <f t="shared" si="111"/>
        <v>0</v>
      </c>
      <c r="BF131" s="225">
        <v>40622</v>
      </c>
      <c r="BG131" s="234">
        <f t="shared" si="115"/>
        <v>0</v>
      </c>
      <c r="BH131" s="235">
        <f t="shared" si="116"/>
        <v>0</v>
      </c>
      <c r="BI131" s="235">
        <f t="shared" si="117"/>
        <v>0</v>
      </c>
      <c r="BJ131" s="235">
        <f t="shared" si="118"/>
        <v>0</v>
      </c>
      <c r="BK131" s="235">
        <f t="shared" si="119"/>
        <v>0</v>
      </c>
      <c r="BL131" s="235">
        <f t="shared" si="120"/>
        <v>0</v>
      </c>
      <c r="BM131" s="235">
        <f t="shared" si="121"/>
        <v>0</v>
      </c>
      <c r="BN131" s="235">
        <f t="shared" si="122"/>
        <v>0</v>
      </c>
      <c r="BO131" s="235">
        <f t="shared" si="123"/>
        <v>0</v>
      </c>
      <c r="BP131" s="235">
        <f t="shared" si="124"/>
        <v>0</v>
      </c>
      <c r="BQ131" s="235">
        <f t="shared" si="125"/>
        <v>0</v>
      </c>
      <c r="BR131" s="235">
        <f t="shared" si="126"/>
        <v>0</v>
      </c>
      <c r="BS131" s="235">
        <f t="shared" si="127"/>
        <v>0</v>
      </c>
      <c r="BT131" s="235">
        <f t="shared" si="128"/>
        <v>0</v>
      </c>
      <c r="BU131" s="235">
        <f t="shared" si="129"/>
        <v>0</v>
      </c>
      <c r="BV131" s="235">
        <f t="shared" si="130"/>
        <v>0</v>
      </c>
      <c r="BW131" s="236">
        <f t="shared" si="131"/>
        <v>0</v>
      </c>
    </row>
    <row r="132" spans="1:75">
      <c r="A132" s="225">
        <v>40653</v>
      </c>
      <c r="B132" s="237"/>
      <c r="C132" s="230">
        <f t="shared" ref="C132:S132" si="144">ROUND((C49-C50),2)</f>
        <v>0</v>
      </c>
      <c r="D132" s="230">
        <f t="shared" si="144"/>
        <v>0</v>
      </c>
      <c r="E132" s="230">
        <f t="shared" si="144"/>
        <v>0</v>
      </c>
      <c r="F132" s="230">
        <f t="shared" si="144"/>
        <v>0</v>
      </c>
      <c r="G132" s="230">
        <f t="shared" si="144"/>
        <v>0</v>
      </c>
      <c r="H132" s="230">
        <f t="shared" si="144"/>
        <v>0</v>
      </c>
      <c r="I132" s="230">
        <f t="shared" si="144"/>
        <v>0</v>
      </c>
      <c r="J132" s="230">
        <f t="shared" si="144"/>
        <v>0</v>
      </c>
      <c r="K132" s="230">
        <f t="shared" si="144"/>
        <v>0</v>
      </c>
      <c r="L132" s="230">
        <f t="shared" si="144"/>
        <v>0</v>
      </c>
      <c r="M132" s="230">
        <f t="shared" si="144"/>
        <v>0</v>
      </c>
      <c r="N132" s="230">
        <f t="shared" si="144"/>
        <v>0</v>
      </c>
      <c r="O132" s="230">
        <f t="shared" si="144"/>
        <v>0</v>
      </c>
      <c r="P132" s="230">
        <f t="shared" si="144"/>
        <v>0</v>
      </c>
      <c r="Q132" s="230">
        <f t="shared" si="144"/>
        <v>0</v>
      </c>
      <c r="R132" s="230">
        <f t="shared" si="144"/>
        <v>0</v>
      </c>
      <c r="S132" s="230">
        <f t="shared" si="144"/>
        <v>0</v>
      </c>
      <c r="T132" s="209">
        <f t="shared" si="113"/>
        <v>0</v>
      </c>
      <c r="U132" s="225">
        <v>40653</v>
      </c>
      <c r="V132" s="225"/>
      <c r="W132" s="231"/>
      <c r="X132" s="231"/>
      <c r="Y132" s="231"/>
      <c r="Z132" s="231"/>
      <c r="AA132" s="231"/>
      <c r="AB132" s="231"/>
      <c r="AC132" s="231"/>
      <c r="AD132" s="231"/>
      <c r="AE132" s="231"/>
      <c r="AF132" s="231"/>
      <c r="AG132" s="231"/>
      <c r="AH132" s="231"/>
      <c r="AI132" s="231"/>
      <c r="AJ132" s="231"/>
      <c r="AK132" s="231"/>
      <c r="AL132" s="231"/>
      <c r="AM132" s="232"/>
      <c r="AN132" s="225">
        <v>40653</v>
      </c>
      <c r="AO132" s="233">
        <f t="shared" si="95"/>
        <v>0</v>
      </c>
      <c r="AP132" s="231">
        <f t="shared" si="96"/>
        <v>0</v>
      </c>
      <c r="AQ132" s="231">
        <f t="shared" si="97"/>
        <v>0</v>
      </c>
      <c r="AR132" s="231">
        <f t="shared" si="98"/>
        <v>0</v>
      </c>
      <c r="AS132" s="231">
        <f t="shared" si="99"/>
        <v>0</v>
      </c>
      <c r="AT132" s="231">
        <f t="shared" si="100"/>
        <v>0</v>
      </c>
      <c r="AU132" s="231">
        <f t="shared" si="101"/>
        <v>0</v>
      </c>
      <c r="AV132" s="231">
        <f t="shared" si="102"/>
        <v>0</v>
      </c>
      <c r="AW132" s="231">
        <f t="shared" si="103"/>
        <v>0</v>
      </c>
      <c r="AX132" s="231">
        <f t="shared" si="104"/>
        <v>0</v>
      </c>
      <c r="AY132" s="231">
        <f t="shared" si="105"/>
        <v>0</v>
      </c>
      <c r="AZ132" s="231">
        <f t="shared" si="106"/>
        <v>0</v>
      </c>
      <c r="BA132" s="231">
        <f t="shared" si="107"/>
        <v>0</v>
      </c>
      <c r="BB132" s="231">
        <f t="shared" si="108"/>
        <v>0</v>
      </c>
      <c r="BC132" s="231">
        <f t="shared" si="109"/>
        <v>0</v>
      </c>
      <c r="BD132" s="231">
        <f t="shared" si="110"/>
        <v>0</v>
      </c>
      <c r="BE132" s="232">
        <f t="shared" si="111"/>
        <v>0</v>
      </c>
      <c r="BF132" s="225">
        <v>40653</v>
      </c>
      <c r="BG132" s="234">
        <f t="shared" si="115"/>
        <v>0</v>
      </c>
      <c r="BH132" s="235">
        <f t="shared" si="116"/>
        <v>0</v>
      </c>
      <c r="BI132" s="235">
        <f t="shared" si="117"/>
        <v>0</v>
      </c>
      <c r="BJ132" s="235">
        <f t="shared" si="118"/>
        <v>0</v>
      </c>
      <c r="BK132" s="235">
        <f t="shared" si="119"/>
        <v>0</v>
      </c>
      <c r="BL132" s="235">
        <f t="shared" si="120"/>
        <v>0</v>
      </c>
      <c r="BM132" s="235">
        <f t="shared" si="121"/>
        <v>0</v>
      </c>
      <c r="BN132" s="235">
        <f t="shared" si="122"/>
        <v>0</v>
      </c>
      <c r="BO132" s="235">
        <f t="shared" si="123"/>
        <v>0</v>
      </c>
      <c r="BP132" s="235">
        <f t="shared" si="124"/>
        <v>0</v>
      </c>
      <c r="BQ132" s="235">
        <f t="shared" si="125"/>
        <v>0</v>
      </c>
      <c r="BR132" s="235">
        <f t="shared" si="126"/>
        <v>0</v>
      </c>
      <c r="BS132" s="235">
        <f t="shared" si="127"/>
        <v>0</v>
      </c>
      <c r="BT132" s="235">
        <f t="shared" si="128"/>
        <v>0</v>
      </c>
      <c r="BU132" s="235">
        <f t="shared" si="129"/>
        <v>0</v>
      </c>
      <c r="BV132" s="235">
        <f t="shared" si="130"/>
        <v>0</v>
      </c>
      <c r="BW132" s="236">
        <f t="shared" si="131"/>
        <v>0</v>
      </c>
    </row>
    <row r="133" spans="1:75" s="587" customFormat="1">
      <c r="A133" s="580">
        <v>40683</v>
      </c>
      <c r="B133" s="590"/>
      <c r="C133" s="577">
        <f t="shared" ref="C133:S133" si="145">ROUND((C50-C51),2)</f>
        <v>0</v>
      </c>
      <c r="D133" s="577">
        <f t="shared" si="145"/>
        <v>0</v>
      </c>
      <c r="E133" s="577">
        <f t="shared" si="145"/>
        <v>0</v>
      </c>
      <c r="F133" s="577">
        <f t="shared" si="145"/>
        <v>0</v>
      </c>
      <c r="G133" s="577">
        <f t="shared" si="145"/>
        <v>0</v>
      </c>
      <c r="H133" s="684">
        <f t="shared" si="145"/>
        <v>64616296.810000002</v>
      </c>
      <c r="I133" s="684">
        <f t="shared" si="145"/>
        <v>41104458.68</v>
      </c>
      <c r="J133" s="684">
        <f t="shared" si="145"/>
        <v>40613353.659999996</v>
      </c>
      <c r="K133" s="577">
        <f t="shared" si="145"/>
        <v>0</v>
      </c>
      <c r="L133" s="577">
        <f t="shared" si="145"/>
        <v>0</v>
      </c>
      <c r="M133" s="577">
        <f t="shared" si="145"/>
        <v>0</v>
      </c>
      <c r="N133" s="577">
        <f t="shared" si="145"/>
        <v>0</v>
      </c>
      <c r="O133" s="577">
        <f t="shared" si="145"/>
        <v>0</v>
      </c>
      <c r="P133" s="577">
        <f t="shared" si="145"/>
        <v>0</v>
      </c>
      <c r="Q133" s="577">
        <f t="shared" si="145"/>
        <v>0</v>
      </c>
      <c r="R133" s="577">
        <f t="shared" si="145"/>
        <v>0</v>
      </c>
      <c r="S133" s="577">
        <f t="shared" si="145"/>
        <v>0</v>
      </c>
      <c r="T133" s="591">
        <f t="shared" si="113"/>
        <v>146334109.15000001</v>
      </c>
      <c r="U133" s="580">
        <v>40683</v>
      </c>
      <c r="V133" s="580"/>
      <c r="W133" s="581"/>
      <c r="X133" s="581"/>
      <c r="Y133" s="581"/>
      <c r="Z133" s="581"/>
      <c r="AA133" s="593">
        <v>64616296.810000002</v>
      </c>
      <c r="AB133" s="593">
        <v>41104458.68</v>
      </c>
      <c r="AC133" s="593">
        <v>40613353.659999996</v>
      </c>
      <c r="AD133" s="581"/>
      <c r="AE133" s="581"/>
      <c r="AF133" s="581"/>
      <c r="AG133" s="581"/>
      <c r="AH133" s="581"/>
      <c r="AI133" s="581"/>
      <c r="AJ133" s="581"/>
      <c r="AK133" s="581"/>
      <c r="AL133" s="581"/>
      <c r="AM133" s="582"/>
      <c r="AN133" s="580">
        <v>40683</v>
      </c>
      <c r="AO133" s="583">
        <f t="shared" si="95"/>
        <v>0</v>
      </c>
      <c r="AP133" s="581">
        <f t="shared" si="96"/>
        <v>0</v>
      </c>
      <c r="AQ133" s="581">
        <f t="shared" si="97"/>
        <v>0</v>
      </c>
      <c r="AR133" s="581">
        <f t="shared" si="98"/>
        <v>0</v>
      </c>
      <c r="AS133" s="581">
        <f t="shared" si="99"/>
        <v>0</v>
      </c>
      <c r="AT133" s="581">
        <f t="shared" si="100"/>
        <v>0</v>
      </c>
      <c r="AU133" s="581">
        <f t="shared" si="101"/>
        <v>0</v>
      </c>
      <c r="AV133" s="581">
        <f t="shared" si="102"/>
        <v>0</v>
      </c>
      <c r="AW133" s="581">
        <f t="shared" si="103"/>
        <v>0</v>
      </c>
      <c r="AX133" s="581">
        <f t="shared" si="104"/>
        <v>0</v>
      </c>
      <c r="AY133" s="581">
        <f t="shared" si="105"/>
        <v>0</v>
      </c>
      <c r="AZ133" s="581">
        <f t="shared" si="106"/>
        <v>0</v>
      </c>
      <c r="BA133" s="581">
        <f t="shared" si="107"/>
        <v>0</v>
      </c>
      <c r="BB133" s="581">
        <f t="shared" si="108"/>
        <v>0</v>
      </c>
      <c r="BC133" s="581">
        <f t="shared" si="109"/>
        <v>0</v>
      </c>
      <c r="BD133" s="581">
        <f t="shared" si="110"/>
        <v>0</v>
      </c>
      <c r="BE133" s="582">
        <f t="shared" si="111"/>
        <v>0</v>
      </c>
      <c r="BF133" s="580">
        <v>40683</v>
      </c>
      <c r="BG133" s="592">
        <f t="shared" si="115"/>
        <v>0</v>
      </c>
      <c r="BH133" s="593">
        <f t="shared" si="116"/>
        <v>0</v>
      </c>
      <c r="BI133" s="593">
        <f t="shared" si="117"/>
        <v>0</v>
      </c>
      <c r="BJ133" s="593">
        <f t="shared" si="118"/>
        <v>0</v>
      </c>
      <c r="BK133" s="593">
        <f t="shared" si="119"/>
        <v>0</v>
      </c>
      <c r="BL133" s="593">
        <f t="shared" si="120"/>
        <v>0</v>
      </c>
      <c r="BM133" s="593">
        <f t="shared" si="121"/>
        <v>0</v>
      </c>
      <c r="BN133" s="593">
        <f t="shared" si="122"/>
        <v>0</v>
      </c>
      <c r="BO133" s="593">
        <f t="shared" si="123"/>
        <v>0</v>
      </c>
      <c r="BP133" s="593">
        <f t="shared" si="124"/>
        <v>0</v>
      </c>
      <c r="BQ133" s="593">
        <f t="shared" si="125"/>
        <v>0</v>
      </c>
      <c r="BR133" s="593">
        <f t="shared" si="126"/>
        <v>0</v>
      </c>
      <c r="BS133" s="593">
        <f t="shared" si="127"/>
        <v>0</v>
      </c>
      <c r="BT133" s="593">
        <f t="shared" si="128"/>
        <v>0</v>
      </c>
      <c r="BU133" s="593">
        <f t="shared" si="129"/>
        <v>0</v>
      </c>
      <c r="BV133" s="593">
        <f t="shared" si="130"/>
        <v>0</v>
      </c>
      <c r="BW133" s="594">
        <f t="shared" si="131"/>
        <v>0</v>
      </c>
    </row>
    <row r="134" spans="1:75">
      <c r="A134" s="225">
        <v>40714</v>
      </c>
      <c r="B134" s="237"/>
      <c r="C134" s="230">
        <f t="shared" ref="C134:S134" si="146">ROUND((C51-C52),2)</f>
        <v>0</v>
      </c>
      <c r="D134" s="230">
        <f t="shared" si="146"/>
        <v>0</v>
      </c>
      <c r="E134" s="230">
        <f t="shared" si="146"/>
        <v>0</v>
      </c>
      <c r="F134" s="230">
        <f t="shared" si="146"/>
        <v>0</v>
      </c>
      <c r="G134" s="230">
        <f t="shared" si="146"/>
        <v>0</v>
      </c>
      <c r="H134" s="230">
        <f t="shared" si="146"/>
        <v>0</v>
      </c>
      <c r="I134" s="230">
        <f t="shared" si="146"/>
        <v>0</v>
      </c>
      <c r="J134" s="230">
        <f t="shared" si="146"/>
        <v>0</v>
      </c>
      <c r="K134" s="230">
        <f t="shared" si="146"/>
        <v>0</v>
      </c>
      <c r="L134" s="230">
        <f t="shared" si="146"/>
        <v>0</v>
      </c>
      <c r="M134" s="230">
        <f t="shared" si="146"/>
        <v>0</v>
      </c>
      <c r="N134" s="230">
        <f t="shared" si="146"/>
        <v>0</v>
      </c>
      <c r="O134" s="230">
        <f t="shared" si="146"/>
        <v>0</v>
      </c>
      <c r="P134" s="230">
        <f t="shared" si="146"/>
        <v>0</v>
      </c>
      <c r="Q134" s="230">
        <f t="shared" si="146"/>
        <v>0</v>
      </c>
      <c r="R134" s="230">
        <f t="shared" si="146"/>
        <v>0</v>
      </c>
      <c r="S134" s="230">
        <f t="shared" si="146"/>
        <v>0</v>
      </c>
      <c r="T134" s="209">
        <f t="shared" si="113"/>
        <v>0</v>
      </c>
      <c r="U134" s="225">
        <v>40714</v>
      </c>
      <c r="V134" s="225"/>
      <c r="W134" s="231"/>
      <c r="X134" s="231"/>
      <c r="Y134" s="231"/>
      <c r="Z134" s="231"/>
      <c r="AA134" s="231"/>
      <c r="AB134" s="231"/>
      <c r="AC134" s="231"/>
      <c r="AD134" s="231"/>
      <c r="AE134" s="231"/>
      <c r="AF134" s="231"/>
      <c r="AG134" s="231"/>
      <c r="AH134" s="231"/>
      <c r="AI134" s="231"/>
      <c r="AJ134" s="231"/>
      <c r="AK134" s="231"/>
      <c r="AL134" s="231"/>
      <c r="AM134" s="232"/>
      <c r="AN134" s="225">
        <v>40714</v>
      </c>
      <c r="AO134" s="233">
        <f t="shared" si="95"/>
        <v>0</v>
      </c>
      <c r="AP134" s="231">
        <f t="shared" si="96"/>
        <v>0</v>
      </c>
      <c r="AQ134" s="231">
        <f t="shared" si="97"/>
        <v>0</v>
      </c>
      <c r="AR134" s="231">
        <f t="shared" si="98"/>
        <v>0</v>
      </c>
      <c r="AS134" s="231">
        <f t="shared" si="99"/>
        <v>0</v>
      </c>
      <c r="AT134" s="231">
        <f t="shared" si="100"/>
        <v>0</v>
      </c>
      <c r="AU134" s="231">
        <f t="shared" si="101"/>
        <v>0</v>
      </c>
      <c r="AV134" s="231">
        <f t="shared" si="102"/>
        <v>0</v>
      </c>
      <c r="AW134" s="231">
        <f t="shared" si="103"/>
        <v>0</v>
      </c>
      <c r="AX134" s="231">
        <f t="shared" si="104"/>
        <v>0</v>
      </c>
      <c r="AY134" s="231">
        <f t="shared" si="105"/>
        <v>0</v>
      </c>
      <c r="AZ134" s="231">
        <f t="shared" si="106"/>
        <v>0</v>
      </c>
      <c r="BA134" s="231">
        <f t="shared" si="107"/>
        <v>0</v>
      </c>
      <c r="BB134" s="231">
        <f t="shared" si="108"/>
        <v>0</v>
      </c>
      <c r="BC134" s="231">
        <f t="shared" si="109"/>
        <v>0</v>
      </c>
      <c r="BD134" s="231">
        <f t="shared" si="110"/>
        <v>0</v>
      </c>
      <c r="BE134" s="232">
        <f t="shared" si="111"/>
        <v>0</v>
      </c>
      <c r="BF134" s="225">
        <v>40714</v>
      </c>
      <c r="BG134" s="234">
        <f t="shared" si="115"/>
        <v>0</v>
      </c>
      <c r="BH134" s="235">
        <f t="shared" si="116"/>
        <v>0</v>
      </c>
      <c r="BI134" s="235">
        <f t="shared" si="117"/>
        <v>0</v>
      </c>
      <c r="BJ134" s="235">
        <f t="shared" si="118"/>
        <v>0</v>
      </c>
      <c r="BK134" s="235">
        <f t="shared" si="119"/>
        <v>0</v>
      </c>
      <c r="BL134" s="235">
        <f t="shared" si="120"/>
        <v>0</v>
      </c>
      <c r="BM134" s="235">
        <f t="shared" si="121"/>
        <v>0</v>
      </c>
      <c r="BN134" s="235">
        <f t="shared" si="122"/>
        <v>0</v>
      </c>
      <c r="BO134" s="235">
        <f t="shared" si="123"/>
        <v>0</v>
      </c>
      <c r="BP134" s="235">
        <f t="shared" si="124"/>
        <v>0</v>
      </c>
      <c r="BQ134" s="235">
        <f t="shared" si="125"/>
        <v>0</v>
      </c>
      <c r="BR134" s="235">
        <f t="shared" si="126"/>
        <v>0</v>
      </c>
      <c r="BS134" s="235">
        <f t="shared" si="127"/>
        <v>0</v>
      </c>
      <c r="BT134" s="235">
        <f t="shared" si="128"/>
        <v>0</v>
      </c>
      <c r="BU134" s="235">
        <f t="shared" si="129"/>
        <v>0</v>
      </c>
      <c r="BV134" s="235">
        <f t="shared" si="130"/>
        <v>0</v>
      </c>
      <c r="BW134" s="236">
        <f t="shared" si="131"/>
        <v>0</v>
      </c>
    </row>
    <row r="135" spans="1:75">
      <c r="A135" s="225">
        <v>40744</v>
      </c>
      <c r="B135" s="237"/>
      <c r="C135" s="230">
        <f t="shared" ref="C135:S135" si="147">ROUND((C52-C53),2)</f>
        <v>0</v>
      </c>
      <c r="D135" s="230">
        <f t="shared" si="147"/>
        <v>0</v>
      </c>
      <c r="E135" s="230">
        <f t="shared" si="147"/>
        <v>0</v>
      </c>
      <c r="F135" s="230">
        <f t="shared" si="147"/>
        <v>0</v>
      </c>
      <c r="G135" s="230">
        <f t="shared" si="147"/>
        <v>0</v>
      </c>
      <c r="H135" s="230">
        <f t="shared" si="147"/>
        <v>0</v>
      </c>
      <c r="I135" s="230">
        <f t="shared" si="147"/>
        <v>0</v>
      </c>
      <c r="J135" s="230">
        <f t="shared" si="147"/>
        <v>0</v>
      </c>
      <c r="K135" s="230">
        <f t="shared" si="147"/>
        <v>0</v>
      </c>
      <c r="L135" s="230">
        <f t="shared" si="147"/>
        <v>0</v>
      </c>
      <c r="M135" s="230">
        <f t="shared" si="147"/>
        <v>0</v>
      </c>
      <c r="N135" s="230">
        <f t="shared" si="147"/>
        <v>0</v>
      </c>
      <c r="O135" s="230">
        <f t="shared" si="147"/>
        <v>0</v>
      </c>
      <c r="P135" s="230">
        <f t="shared" si="147"/>
        <v>0</v>
      </c>
      <c r="Q135" s="230">
        <f t="shared" si="147"/>
        <v>0</v>
      </c>
      <c r="R135" s="230">
        <f t="shared" si="147"/>
        <v>0</v>
      </c>
      <c r="S135" s="230">
        <f t="shared" si="147"/>
        <v>0</v>
      </c>
      <c r="T135" s="209">
        <f t="shared" si="113"/>
        <v>0</v>
      </c>
      <c r="U135" s="225">
        <v>40744</v>
      </c>
      <c r="V135" s="225"/>
      <c r="W135" s="231"/>
      <c r="X135" s="231"/>
      <c r="Y135" s="231"/>
      <c r="Z135" s="231"/>
      <c r="AA135" s="231"/>
      <c r="AB135" s="231"/>
      <c r="AC135" s="231"/>
      <c r="AD135" s="231"/>
      <c r="AE135" s="231"/>
      <c r="AF135" s="231"/>
      <c r="AG135" s="231"/>
      <c r="AH135" s="231"/>
      <c r="AI135" s="231"/>
      <c r="AJ135" s="231"/>
      <c r="AK135" s="231"/>
      <c r="AL135" s="231"/>
      <c r="AM135" s="232"/>
      <c r="AN135" s="225">
        <v>40744</v>
      </c>
      <c r="AO135" s="233">
        <f t="shared" si="95"/>
        <v>0</v>
      </c>
      <c r="AP135" s="231">
        <f t="shared" si="96"/>
        <v>0</v>
      </c>
      <c r="AQ135" s="231">
        <f t="shared" si="97"/>
        <v>0</v>
      </c>
      <c r="AR135" s="231">
        <f t="shared" si="98"/>
        <v>0</v>
      </c>
      <c r="AS135" s="231">
        <f t="shared" si="99"/>
        <v>0</v>
      </c>
      <c r="AT135" s="231">
        <f t="shared" si="100"/>
        <v>0</v>
      </c>
      <c r="AU135" s="231">
        <f t="shared" si="101"/>
        <v>0</v>
      </c>
      <c r="AV135" s="231">
        <f t="shared" si="102"/>
        <v>0</v>
      </c>
      <c r="AW135" s="231">
        <f t="shared" si="103"/>
        <v>0</v>
      </c>
      <c r="AX135" s="231">
        <f t="shared" si="104"/>
        <v>0</v>
      </c>
      <c r="AY135" s="231">
        <f t="shared" si="105"/>
        <v>0</v>
      </c>
      <c r="AZ135" s="231">
        <f t="shared" si="106"/>
        <v>0</v>
      </c>
      <c r="BA135" s="231">
        <f t="shared" si="107"/>
        <v>0</v>
      </c>
      <c r="BB135" s="231">
        <f t="shared" si="108"/>
        <v>0</v>
      </c>
      <c r="BC135" s="231">
        <f t="shared" si="109"/>
        <v>0</v>
      </c>
      <c r="BD135" s="231">
        <f t="shared" si="110"/>
        <v>0</v>
      </c>
      <c r="BE135" s="232">
        <f t="shared" si="111"/>
        <v>0</v>
      </c>
      <c r="BF135" s="225">
        <v>40744</v>
      </c>
      <c r="BG135" s="234">
        <f t="shared" si="115"/>
        <v>0</v>
      </c>
      <c r="BH135" s="235">
        <f t="shared" si="116"/>
        <v>0</v>
      </c>
      <c r="BI135" s="235">
        <f t="shared" si="117"/>
        <v>0</v>
      </c>
      <c r="BJ135" s="235">
        <f t="shared" si="118"/>
        <v>0</v>
      </c>
      <c r="BK135" s="235">
        <f t="shared" si="119"/>
        <v>0</v>
      </c>
      <c r="BL135" s="235">
        <f t="shared" si="120"/>
        <v>0</v>
      </c>
      <c r="BM135" s="235">
        <f t="shared" si="121"/>
        <v>0</v>
      </c>
      <c r="BN135" s="235">
        <f t="shared" si="122"/>
        <v>0</v>
      </c>
      <c r="BO135" s="235">
        <f t="shared" si="123"/>
        <v>0</v>
      </c>
      <c r="BP135" s="235">
        <f t="shared" si="124"/>
        <v>0</v>
      </c>
      <c r="BQ135" s="235">
        <f t="shared" si="125"/>
        <v>0</v>
      </c>
      <c r="BR135" s="235">
        <f t="shared" si="126"/>
        <v>0</v>
      </c>
      <c r="BS135" s="235">
        <f t="shared" si="127"/>
        <v>0</v>
      </c>
      <c r="BT135" s="235">
        <f t="shared" si="128"/>
        <v>0</v>
      </c>
      <c r="BU135" s="235">
        <f t="shared" si="129"/>
        <v>0</v>
      </c>
      <c r="BV135" s="235">
        <f t="shared" si="130"/>
        <v>0</v>
      </c>
      <c r="BW135" s="236">
        <f t="shared" si="131"/>
        <v>0</v>
      </c>
    </row>
    <row r="136" spans="1:75" s="587" customFormat="1">
      <c r="A136" s="580">
        <v>40777</v>
      </c>
      <c r="B136" s="590"/>
      <c r="C136" s="577">
        <f t="shared" ref="C136:S136" si="148">ROUND((C53-C54),2)</f>
        <v>0</v>
      </c>
      <c r="D136" s="577">
        <f t="shared" si="148"/>
        <v>0</v>
      </c>
      <c r="E136" s="577">
        <f t="shared" si="148"/>
        <v>0</v>
      </c>
      <c r="F136" s="577">
        <f t="shared" si="148"/>
        <v>0</v>
      </c>
      <c r="G136" s="577">
        <f t="shared" si="148"/>
        <v>0</v>
      </c>
      <c r="H136" s="684">
        <f t="shared" si="148"/>
        <v>61110320.520000003</v>
      </c>
      <c r="I136" s="684">
        <f t="shared" si="148"/>
        <v>38874196.890000001</v>
      </c>
      <c r="J136" s="684">
        <f t="shared" si="148"/>
        <v>38409738.439999998</v>
      </c>
      <c r="K136" s="577">
        <f t="shared" si="148"/>
        <v>0</v>
      </c>
      <c r="L136" s="577">
        <f t="shared" si="148"/>
        <v>0</v>
      </c>
      <c r="M136" s="577">
        <f t="shared" si="148"/>
        <v>0</v>
      </c>
      <c r="N136" s="577">
        <f t="shared" si="148"/>
        <v>0</v>
      </c>
      <c r="O136" s="577">
        <f t="shared" si="148"/>
        <v>0</v>
      </c>
      <c r="P136" s="577">
        <f t="shared" si="148"/>
        <v>0</v>
      </c>
      <c r="Q136" s="577">
        <f t="shared" si="148"/>
        <v>0</v>
      </c>
      <c r="R136" s="577">
        <f t="shared" si="148"/>
        <v>0</v>
      </c>
      <c r="S136" s="577">
        <f t="shared" si="148"/>
        <v>0</v>
      </c>
      <c r="T136" s="591">
        <f t="shared" si="113"/>
        <v>138394255.84999999</v>
      </c>
      <c r="U136" s="580">
        <v>40777</v>
      </c>
      <c r="V136" s="580"/>
      <c r="W136" s="581"/>
      <c r="X136" s="581"/>
      <c r="Y136" s="581"/>
      <c r="Z136" s="581"/>
      <c r="AA136" s="593">
        <v>61110320.520000003</v>
      </c>
      <c r="AB136" s="593">
        <v>38874196.890000001</v>
      </c>
      <c r="AC136" s="593">
        <v>38409738.439999998</v>
      </c>
      <c r="AD136" s="581"/>
      <c r="AE136" s="581"/>
      <c r="AF136" s="581"/>
      <c r="AG136" s="581"/>
      <c r="AH136" s="581"/>
      <c r="AI136" s="581"/>
      <c r="AJ136" s="581"/>
      <c r="AK136" s="581"/>
      <c r="AL136" s="581"/>
      <c r="AM136" s="582"/>
      <c r="AN136" s="580">
        <v>40777</v>
      </c>
      <c r="AO136" s="583">
        <f t="shared" si="95"/>
        <v>0</v>
      </c>
      <c r="AP136" s="581">
        <f t="shared" si="96"/>
        <v>0</v>
      </c>
      <c r="AQ136" s="581">
        <f t="shared" si="97"/>
        <v>0</v>
      </c>
      <c r="AR136" s="581">
        <f t="shared" si="98"/>
        <v>0</v>
      </c>
      <c r="AS136" s="581">
        <f t="shared" si="99"/>
        <v>0</v>
      </c>
      <c r="AT136" s="581">
        <f t="shared" si="100"/>
        <v>0</v>
      </c>
      <c r="AU136" s="581">
        <f t="shared" si="101"/>
        <v>0</v>
      </c>
      <c r="AV136" s="581">
        <f t="shared" si="102"/>
        <v>0</v>
      </c>
      <c r="AW136" s="581">
        <f t="shared" si="103"/>
        <v>0</v>
      </c>
      <c r="AX136" s="581">
        <f t="shared" si="104"/>
        <v>0</v>
      </c>
      <c r="AY136" s="581">
        <f t="shared" si="105"/>
        <v>0</v>
      </c>
      <c r="AZ136" s="581">
        <f t="shared" si="106"/>
        <v>0</v>
      </c>
      <c r="BA136" s="581">
        <f t="shared" si="107"/>
        <v>0</v>
      </c>
      <c r="BB136" s="581">
        <f t="shared" si="108"/>
        <v>0</v>
      </c>
      <c r="BC136" s="581">
        <f t="shared" si="109"/>
        <v>0</v>
      </c>
      <c r="BD136" s="581">
        <f t="shared" si="110"/>
        <v>0</v>
      </c>
      <c r="BE136" s="582">
        <f t="shared" si="111"/>
        <v>0</v>
      </c>
      <c r="BF136" s="580">
        <v>40777</v>
      </c>
      <c r="BG136" s="592">
        <f t="shared" si="115"/>
        <v>0</v>
      </c>
      <c r="BH136" s="593">
        <f t="shared" si="116"/>
        <v>0</v>
      </c>
      <c r="BI136" s="593">
        <f t="shared" si="117"/>
        <v>0</v>
      </c>
      <c r="BJ136" s="593">
        <f t="shared" si="118"/>
        <v>0</v>
      </c>
      <c r="BK136" s="593">
        <f t="shared" si="119"/>
        <v>0</v>
      </c>
      <c r="BL136" s="593">
        <f t="shared" si="120"/>
        <v>0</v>
      </c>
      <c r="BM136" s="593">
        <f t="shared" si="121"/>
        <v>0</v>
      </c>
      <c r="BN136" s="593">
        <f t="shared" si="122"/>
        <v>0</v>
      </c>
      <c r="BO136" s="593">
        <f t="shared" si="123"/>
        <v>0</v>
      </c>
      <c r="BP136" s="593">
        <f t="shared" si="124"/>
        <v>0</v>
      </c>
      <c r="BQ136" s="593">
        <f t="shared" si="125"/>
        <v>0</v>
      </c>
      <c r="BR136" s="593">
        <f t="shared" si="126"/>
        <v>0</v>
      </c>
      <c r="BS136" s="593">
        <f t="shared" si="127"/>
        <v>0</v>
      </c>
      <c r="BT136" s="593">
        <f t="shared" si="128"/>
        <v>0</v>
      </c>
      <c r="BU136" s="593">
        <f t="shared" si="129"/>
        <v>0</v>
      </c>
      <c r="BV136" s="593">
        <f t="shared" si="130"/>
        <v>0</v>
      </c>
      <c r="BW136" s="594">
        <f t="shared" si="131"/>
        <v>0</v>
      </c>
    </row>
    <row r="137" spans="1:75">
      <c r="A137" s="225">
        <v>40806</v>
      </c>
      <c r="B137" s="237"/>
      <c r="C137" s="230">
        <f t="shared" ref="C137:S137" si="149">ROUND((C54-C55),2)</f>
        <v>0</v>
      </c>
      <c r="D137" s="230">
        <f t="shared" si="149"/>
        <v>0</v>
      </c>
      <c r="E137" s="230">
        <f t="shared" si="149"/>
        <v>0</v>
      </c>
      <c r="F137" s="230">
        <f t="shared" si="149"/>
        <v>0</v>
      </c>
      <c r="G137" s="230">
        <f t="shared" si="149"/>
        <v>0</v>
      </c>
      <c r="H137" s="230">
        <f t="shared" si="149"/>
        <v>0</v>
      </c>
      <c r="I137" s="230">
        <f t="shared" si="149"/>
        <v>0</v>
      </c>
      <c r="J137" s="230">
        <f t="shared" si="149"/>
        <v>0</v>
      </c>
      <c r="K137" s="230">
        <f t="shared" si="149"/>
        <v>0</v>
      </c>
      <c r="L137" s="230">
        <f t="shared" si="149"/>
        <v>0</v>
      </c>
      <c r="M137" s="230">
        <f t="shared" si="149"/>
        <v>0</v>
      </c>
      <c r="N137" s="230">
        <f t="shared" si="149"/>
        <v>0</v>
      </c>
      <c r="O137" s="230">
        <f t="shared" si="149"/>
        <v>0</v>
      </c>
      <c r="P137" s="230">
        <f t="shared" si="149"/>
        <v>0</v>
      </c>
      <c r="Q137" s="230">
        <f t="shared" si="149"/>
        <v>0</v>
      </c>
      <c r="R137" s="230">
        <f t="shared" si="149"/>
        <v>0</v>
      </c>
      <c r="S137" s="230">
        <f t="shared" si="149"/>
        <v>0</v>
      </c>
      <c r="T137" s="209">
        <f t="shared" si="113"/>
        <v>0</v>
      </c>
      <c r="U137" s="225">
        <v>40806</v>
      </c>
      <c r="V137" s="225"/>
      <c r="W137" s="231"/>
      <c r="X137" s="231"/>
      <c r="Y137" s="231"/>
      <c r="Z137" s="231"/>
      <c r="AA137" s="231"/>
      <c r="AB137" s="231"/>
      <c r="AC137" s="231"/>
      <c r="AD137" s="231"/>
      <c r="AE137" s="231"/>
      <c r="AF137" s="231"/>
      <c r="AG137" s="231"/>
      <c r="AH137" s="231"/>
      <c r="AI137" s="231"/>
      <c r="AJ137" s="231"/>
      <c r="AK137" s="231"/>
      <c r="AL137" s="231"/>
      <c r="AM137" s="232"/>
      <c r="AN137" s="225">
        <v>40806</v>
      </c>
      <c r="AO137" s="233">
        <f t="shared" si="95"/>
        <v>0</v>
      </c>
      <c r="AP137" s="231">
        <f t="shared" si="96"/>
        <v>0</v>
      </c>
      <c r="AQ137" s="231">
        <f t="shared" si="97"/>
        <v>0</v>
      </c>
      <c r="AR137" s="231">
        <f t="shared" si="98"/>
        <v>0</v>
      </c>
      <c r="AS137" s="231">
        <f t="shared" si="99"/>
        <v>0</v>
      </c>
      <c r="AT137" s="231">
        <f t="shared" si="100"/>
        <v>0</v>
      </c>
      <c r="AU137" s="231">
        <f t="shared" si="101"/>
        <v>0</v>
      </c>
      <c r="AV137" s="231">
        <f t="shared" si="102"/>
        <v>0</v>
      </c>
      <c r="AW137" s="231">
        <f t="shared" si="103"/>
        <v>0</v>
      </c>
      <c r="AX137" s="231">
        <f t="shared" si="104"/>
        <v>0</v>
      </c>
      <c r="AY137" s="231">
        <f t="shared" si="105"/>
        <v>0</v>
      </c>
      <c r="AZ137" s="231">
        <f t="shared" si="106"/>
        <v>0</v>
      </c>
      <c r="BA137" s="231">
        <f t="shared" si="107"/>
        <v>0</v>
      </c>
      <c r="BB137" s="231">
        <f t="shared" si="108"/>
        <v>0</v>
      </c>
      <c r="BC137" s="231">
        <f t="shared" si="109"/>
        <v>0</v>
      </c>
      <c r="BD137" s="231">
        <f t="shared" si="110"/>
        <v>0</v>
      </c>
      <c r="BE137" s="232">
        <f t="shared" si="111"/>
        <v>0</v>
      </c>
      <c r="BF137" s="225">
        <v>40806</v>
      </c>
      <c r="BG137" s="234">
        <f t="shared" si="115"/>
        <v>0</v>
      </c>
      <c r="BH137" s="235">
        <f t="shared" si="116"/>
        <v>0</v>
      </c>
      <c r="BI137" s="235">
        <f t="shared" si="117"/>
        <v>0</v>
      </c>
      <c r="BJ137" s="235">
        <f t="shared" si="118"/>
        <v>0</v>
      </c>
      <c r="BK137" s="235">
        <f t="shared" si="119"/>
        <v>0</v>
      </c>
      <c r="BL137" s="235">
        <f t="shared" si="120"/>
        <v>0</v>
      </c>
      <c r="BM137" s="235">
        <f t="shared" si="121"/>
        <v>0</v>
      </c>
      <c r="BN137" s="235">
        <f t="shared" si="122"/>
        <v>0</v>
      </c>
      <c r="BO137" s="235">
        <f t="shared" si="123"/>
        <v>0</v>
      </c>
      <c r="BP137" s="235">
        <f t="shared" si="124"/>
        <v>0</v>
      </c>
      <c r="BQ137" s="235">
        <f t="shared" si="125"/>
        <v>0</v>
      </c>
      <c r="BR137" s="235">
        <f t="shared" si="126"/>
        <v>0</v>
      </c>
      <c r="BS137" s="235">
        <f t="shared" si="127"/>
        <v>0</v>
      </c>
      <c r="BT137" s="235">
        <f t="shared" si="128"/>
        <v>0</v>
      </c>
      <c r="BU137" s="235">
        <f t="shared" si="129"/>
        <v>0</v>
      </c>
      <c r="BV137" s="235">
        <f t="shared" si="130"/>
        <v>0</v>
      </c>
      <c r="BW137" s="236">
        <f t="shared" si="131"/>
        <v>0</v>
      </c>
    </row>
    <row r="138" spans="1:75">
      <c r="A138" s="225">
        <v>40836</v>
      </c>
      <c r="B138" s="237"/>
      <c r="C138" s="230">
        <f t="shared" ref="C138:S138" si="150">ROUND((C55-C56),2)</f>
        <v>0</v>
      </c>
      <c r="D138" s="230">
        <f t="shared" si="150"/>
        <v>0</v>
      </c>
      <c r="E138" s="230">
        <f t="shared" si="150"/>
        <v>0</v>
      </c>
      <c r="F138" s="230">
        <f t="shared" si="150"/>
        <v>0</v>
      </c>
      <c r="G138" s="230">
        <f t="shared" si="150"/>
        <v>0</v>
      </c>
      <c r="H138" s="230">
        <f t="shared" si="150"/>
        <v>0</v>
      </c>
      <c r="I138" s="230">
        <f t="shared" si="150"/>
        <v>0</v>
      </c>
      <c r="J138" s="230">
        <f t="shared" si="150"/>
        <v>0</v>
      </c>
      <c r="K138" s="230">
        <f t="shared" si="150"/>
        <v>0</v>
      </c>
      <c r="L138" s="230">
        <f t="shared" si="150"/>
        <v>0</v>
      </c>
      <c r="M138" s="230">
        <f t="shared" si="150"/>
        <v>0</v>
      </c>
      <c r="N138" s="230">
        <f t="shared" si="150"/>
        <v>0</v>
      </c>
      <c r="O138" s="230">
        <f t="shared" si="150"/>
        <v>0</v>
      </c>
      <c r="P138" s="230">
        <f t="shared" si="150"/>
        <v>0</v>
      </c>
      <c r="Q138" s="230">
        <f t="shared" si="150"/>
        <v>0</v>
      </c>
      <c r="R138" s="230">
        <f t="shared" si="150"/>
        <v>0</v>
      </c>
      <c r="S138" s="230">
        <f t="shared" si="150"/>
        <v>0</v>
      </c>
      <c r="T138" s="209">
        <f t="shared" si="113"/>
        <v>0</v>
      </c>
      <c r="U138" s="225">
        <v>40836</v>
      </c>
      <c r="V138" s="225"/>
      <c r="W138" s="231"/>
      <c r="X138" s="231"/>
      <c r="Y138" s="231"/>
      <c r="Z138" s="231"/>
      <c r="AA138" s="231"/>
      <c r="AB138" s="231"/>
      <c r="AC138" s="231"/>
      <c r="AD138" s="231"/>
      <c r="AE138" s="231"/>
      <c r="AF138" s="231"/>
      <c r="AG138" s="231"/>
      <c r="AH138" s="231"/>
      <c r="AI138" s="231"/>
      <c r="AJ138" s="231"/>
      <c r="AK138" s="231"/>
      <c r="AL138" s="231"/>
      <c r="AM138" s="232"/>
      <c r="AN138" s="225">
        <v>40836</v>
      </c>
      <c r="AO138" s="233">
        <f t="shared" si="95"/>
        <v>0</v>
      </c>
      <c r="AP138" s="231">
        <f t="shared" si="96"/>
        <v>0</v>
      </c>
      <c r="AQ138" s="231">
        <f t="shared" si="97"/>
        <v>0</v>
      </c>
      <c r="AR138" s="231">
        <f t="shared" si="98"/>
        <v>0</v>
      </c>
      <c r="AS138" s="231">
        <f t="shared" si="99"/>
        <v>0</v>
      </c>
      <c r="AT138" s="231">
        <f t="shared" si="100"/>
        <v>0</v>
      </c>
      <c r="AU138" s="231">
        <f t="shared" si="101"/>
        <v>0</v>
      </c>
      <c r="AV138" s="231">
        <f t="shared" si="102"/>
        <v>0</v>
      </c>
      <c r="AW138" s="231">
        <f t="shared" si="103"/>
        <v>0</v>
      </c>
      <c r="AX138" s="231">
        <f t="shared" si="104"/>
        <v>0</v>
      </c>
      <c r="AY138" s="231">
        <f t="shared" si="105"/>
        <v>0</v>
      </c>
      <c r="AZ138" s="231">
        <f t="shared" si="106"/>
        <v>0</v>
      </c>
      <c r="BA138" s="231">
        <f t="shared" si="107"/>
        <v>0</v>
      </c>
      <c r="BB138" s="231">
        <f t="shared" si="108"/>
        <v>0</v>
      </c>
      <c r="BC138" s="231">
        <f t="shared" si="109"/>
        <v>0</v>
      </c>
      <c r="BD138" s="231">
        <f t="shared" si="110"/>
        <v>0</v>
      </c>
      <c r="BE138" s="232">
        <f t="shared" si="111"/>
        <v>0</v>
      </c>
      <c r="BF138" s="225">
        <v>40836</v>
      </c>
      <c r="BG138" s="234">
        <f t="shared" si="115"/>
        <v>0</v>
      </c>
      <c r="BH138" s="235">
        <f t="shared" si="116"/>
        <v>0</v>
      </c>
      <c r="BI138" s="235">
        <f t="shared" si="117"/>
        <v>0</v>
      </c>
      <c r="BJ138" s="235">
        <f t="shared" si="118"/>
        <v>0</v>
      </c>
      <c r="BK138" s="235">
        <f t="shared" si="119"/>
        <v>0</v>
      </c>
      <c r="BL138" s="235">
        <f t="shared" si="120"/>
        <v>0</v>
      </c>
      <c r="BM138" s="235">
        <f t="shared" si="121"/>
        <v>0</v>
      </c>
      <c r="BN138" s="235">
        <f t="shared" si="122"/>
        <v>0</v>
      </c>
      <c r="BO138" s="235">
        <f t="shared" si="123"/>
        <v>0</v>
      </c>
      <c r="BP138" s="235">
        <f t="shared" si="124"/>
        <v>0</v>
      </c>
      <c r="BQ138" s="235">
        <f t="shared" si="125"/>
        <v>0</v>
      </c>
      <c r="BR138" s="235">
        <f t="shared" si="126"/>
        <v>0</v>
      </c>
      <c r="BS138" s="235">
        <f t="shared" si="127"/>
        <v>0</v>
      </c>
      <c r="BT138" s="235">
        <f t="shared" si="128"/>
        <v>0</v>
      </c>
      <c r="BU138" s="235">
        <f t="shared" si="129"/>
        <v>0</v>
      </c>
      <c r="BV138" s="235">
        <f t="shared" si="130"/>
        <v>0</v>
      </c>
      <c r="BW138" s="236">
        <f t="shared" si="131"/>
        <v>0</v>
      </c>
    </row>
    <row r="139" spans="1:75" s="587" customFormat="1">
      <c r="A139" s="580">
        <v>40868</v>
      </c>
      <c r="B139" s="590"/>
      <c r="C139" s="577">
        <f t="shared" ref="C139:S139" si="151">ROUND((C56-C57),2)</f>
        <v>0</v>
      </c>
      <c r="D139" s="577">
        <f t="shared" si="151"/>
        <v>0</v>
      </c>
      <c r="E139" s="577">
        <f t="shared" si="151"/>
        <v>0</v>
      </c>
      <c r="F139" s="577">
        <f t="shared" si="151"/>
        <v>0</v>
      </c>
      <c r="G139" s="577">
        <f t="shared" si="151"/>
        <v>0</v>
      </c>
      <c r="H139" s="684">
        <f t="shared" si="151"/>
        <v>57794572.850000001</v>
      </c>
      <c r="I139" s="684">
        <f t="shared" si="151"/>
        <v>36764945.520000003</v>
      </c>
      <c r="J139" s="684">
        <f t="shared" si="151"/>
        <v>36325687.829999998</v>
      </c>
      <c r="K139" s="577">
        <f t="shared" si="151"/>
        <v>0</v>
      </c>
      <c r="L139" s="577">
        <f t="shared" si="151"/>
        <v>0</v>
      </c>
      <c r="M139" s="577">
        <f t="shared" si="151"/>
        <v>0</v>
      </c>
      <c r="N139" s="577">
        <f t="shared" si="151"/>
        <v>0</v>
      </c>
      <c r="O139" s="577">
        <f t="shared" si="151"/>
        <v>0</v>
      </c>
      <c r="P139" s="577">
        <f t="shared" si="151"/>
        <v>0</v>
      </c>
      <c r="Q139" s="577">
        <f t="shared" si="151"/>
        <v>0</v>
      </c>
      <c r="R139" s="577">
        <f t="shared" si="151"/>
        <v>0</v>
      </c>
      <c r="S139" s="577">
        <f t="shared" si="151"/>
        <v>0</v>
      </c>
      <c r="T139" s="591">
        <f t="shared" si="113"/>
        <v>130885206.2</v>
      </c>
      <c r="U139" s="580">
        <v>40868</v>
      </c>
      <c r="V139" s="580"/>
      <c r="W139" s="581"/>
      <c r="X139" s="581"/>
      <c r="Y139" s="581"/>
      <c r="Z139" s="581"/>
      <c r="AA139" s="593">
        <v>57794572.850000001</v>
      </c>
      <c r="AB139" s="593">
        <v>36764945.520000003</v>
      </c>
      <c r="AC139" s="593">
        <v>36325687.829999998</v>
      </c>
      <c r="AD139" s="581"/>
      <c r="AE139" s="581"/>
      <c r="AF139" s="581"/>
      <c r="AG139" s="581"/>
      <c r="AH139" s="581"/>
      <c r="AI139" s="581"/>
      <c r="AJ139" s="581"/>
      <c r="AK139" s="581"/>
      <c r="AL139" s="581"/>
      <c r="AM139" s="582"/>
      <c r="AN139" s="580">
        <v>40868</v>
      </c>
      <c r="AO139" s="583">
        <f t="shared" si="95"/>
        <v>0</v>
      </c>
      <c r="AP139" s="581">
        <f t="shared" si="96"/>
        <v>0</v>
      </c>
      <c r="AQ139" s="581">
        <f t="shared" si="97"/>
        <v>0</v>
      </c>
      <c r="AR139" s="581">
        <f t="shared" si="98"/>
        <v>0</v>
      </c>
      <c r="AS139" s="581">
        <f t="shared" si="99"/>
        <v>0</v>
      </c>
      <c r="AT139" s="581">
        <f t="shared" si="100"/>
        <v>0</v>
      </c>
      <c r="AU139" s="581">
        <f t="shared" si="101"/>
        <v>0</v>
      </c>
      <c r="AV139" s="581">
        <f t="shared" si="102"/>
        <v>0</v>
      </c>
      <c r="AW139" s="581">
        <f t="shared" si="103"/>
        <v>0</v>
      </c>
      <c r="AX139" s="581">
        <f t="shared" si="104"/>
        <v>0</v>
      </c>
      <c r="AY139" s="581">
        <f t="shared" si="105"/>
        <v>0</v>
      </c>
      <c r="AZ139" s="581">
        <f t="shared" si="106"/>
        <v>0</v>
      </c>
      <c r="BA139" s="581">
        <f t="shared" si="107"/>
        <v>0</v>
      </c>
      <c r="BB139" s="581">
        <f t="shared" si="108"/>
        <v>0</v>
      </c>
      <c r="BC139" s="581">
        <f t="shared" si="109"/>
        <v>0</v>
      </c>
      <c r="BD139" s="581">
        <f t="shared" si="110"/>
        <v>0</v>
      </c>
      <c r="BE139" s="582">
        <f t="shared" si="111"/>
        <v>0</v>
      </c>
      <c r="BF139" s="580">
        <v>40868</v>
      </c>
      <c r="BG139" s="592">
        <f t="shared" si="115"/>
        <v>0</v>
      </c>
      <c r="BH139" s="593">
        <f t="shared" si="116"/>
        <v>0</v>
      </c>
      <c r="BI139" s="593">
        <f t="shared" si="117"/>
        <v>0</v>
      </c>
      <c r="BJ139" s="593">
        <f t="shared" si="118"/>
        <v>0</v>
      </c>
      <c r="BK139" s="593">
        <f t="shared" si="119"/>
        <v>0</v>
      </c>
      <c r="BL139" s="593">
        <f t="shared" si="120"/>
        <v>0</v>
      </c>
      <c r="BM139" s="593">
        <f t="shared" si="121"/>
        <v>0</v>
      </c>
      <c r="BN139" s="593">
        <f t="shared" si="122"/>
        <v>0</v>
      </c>
      <c r="BO139" s="593">
        <f t="shared" si="123"/>
        <v>0</v>
      </c>
      <c r="BP139" s="593">
        <f t="shared" si="124"/>
        <v>0</v>
      </c>
      <c r="BQ139" s="593">
        <f t="shared" si="125"/>
        <v>0</v>
      </c>
      <c r="BR139" s="593">
        <f t="shared" si="126"/>
        <v>0</v>
      </c>
      <c r="BS139" s="593">
        <f t="shared" si="127"/>
        <v>0</v>
      </c>
      <c r="BT139" s="593">
        <f t="shared" si="128"/>
        <v>0</v>
      </c>
      <c r="BU139" s="593">
        <f t="shared" si="129"/>
        <v>0</v>
      </c>
      <c r="BV139" s="593">
        <f t="shared" si="130"/>
        <v>0</v>
      </c>
      <c r="BW139" s="594">
        <f t="shared" si="131"/>
        <v>0</v>
      </c>
    </row>
    <row r="140" spans="1:75">
      <c r="A140" s="225">
        <v>40897</v>
      </c>
      <c r="B140" s="237"/>
      <c r="C140" s="230">
        <f t="shared" ref="C140:S140" si="152">ROUND((C57-C58),2)</f>
        <v>0</v>
      </c>
      <c r="D140" s="230">
        <f t="shared" si="152"/>
        <v>0</v>
      </c>
      <c r="E140" s="230">
        <f t="shared" si="152"/>
        <v>0</v>
      </c>
      <c r="F140" s="230">
        <f t="shared" si="152"/>
        <v>0</v>
      </c>
      <c r="G140" s="230">
        <f t="shared" si="152"/>
        <v>0</v>
      </c>
      <c r="H140" s="230">
        <f t="shared" si="152"/>
        <v>0</v>
      </c>
      <c r="I140" s="230">
        <f t="shared" si="152"/>
        <v>0</v>
      </c>
      <c r="J140" s="230">
        <f t="shared" si="152"/>
        <v>0</v>
      </c>
      <c r="K140" s="230">
        <f t="shared" si="152"/>
        <v>0</v>
      </c>
      <c r="L140" s="230">
        <f t="shared" si="152"/>
        <v>0</v>
      </c>
      <c r="M140" s="230">
        <f t="shared" si="152"/>
        <v>0</v>
      </c>
      <c r="N140" s="230">
        <f t="shared" si="152"/>
        <v>0</v>
      </c>
      <c r="O140" s="230">
        <f t="shared" si="152"/>
        <v>0</v>
      </c>
      <c r="P140" s="230">
        <f t="shared" si="152"/>
        <v>0</v>
      </c>
      <c r="Q140" s="230">
        <f t="shared" si="152"/>
        <v>0</v>
      </c>
      <c r="R140" s="230">
        <f t="shared" si="152"/>
        <v>0</v>
      </c>
      <c r="S140" s="230">
        <f t="shared" si="152"/>
        <v>0</v>
      </c>
      <c r="T140" s="209">
        <f t="shared" si="113"/>
        <v>0</v>
      </c>
      <c r="U140" s="225">
        <v>40897</v>
      </c>
      <c r="V140" s="225"/>
      <c r="W140" s="231"/>
      <c r="X140" s="231"/>
      <c r="Y140" s="231"/>
      <c r="Z140" s="231"/>
      <c r="AA140" s="231"/>
      <c r="AB140" s="231"/>
      <c r="AC140" s="231"/>
      <c r="AD140" s="231"/>
      <c r="AE140" s="231"/>
      <c r="AF140" s="231"/>
      <c r="AG140" s="231"/>
      <c r="AH140" s="231"/>
      <c r="AI140" s="231"/>
      <c r="AJ140" s="231"/>
      <c r="AK140" s="231"/>
      <c r="AL140" s="231"/>
      <c r="AM140" s="232"/>
      <c r="AN140" s="225">
        <v>40897</v>
      </c>
      <c r="AO140" s="233">
        <f t="shared" si="95"/>
        <v>0</v>
      </c>
      <c r="AP140" s="231">
        <f t="shared" si="96"/>
        <v>0</v>
      </c>
      <c r="AQ140" s="231">
        <f t="shared" si="97"/>
        <v>0</v>
      </c>
      <c r="AR140" s="231">
        <f t="shared" si="98"/>
        <v>0</v>
      </c>
      <c r="AS140" s="231">
        <f t="shared" si="99"/>
        <v>0</v>
      </c>
      <c r="AT140" s="231">
        <f t="shared" si="100"/>
        <v>0</v>
      </c>
      <c r="AU140" s="231">
        <f t="shared" si="101"/>
        <v>0</v>
      </c>
      <c r="AV140" s="231">
        <f t="shared" si="102"/>
        <v>0</v>
      </c>
      <c r="AW140" s="231">
        <f t="shared" si="103"/>
        <v>0</v>
      </c>
      <c r="AX140" s="231">
        <f t="shared" si="104"/>
        <v>0</v>
      </c>
      <c r="AY140" s="231">
        <f t="shared" si="105"/>
        <v>0</v>
      </c>
      <c r="AZ140" s="231">
        <f t="shared" si="106"/>
        <v>0</v>
      </c>
      <c r="BA140" s="231">
        <f t="shared" si="107"/>
        <v>0</v>
      </c>
      <c r="BB140" s="231">
        <f t="shared" si="108"/>
        <v>0</v>
      </c>
      <c r="BC140" s="231">
        <f t="shared" si="109"/>
        <v>0</v>
      </c>
      <c r="BD140" s="231">
        <f t="shared" si="110"/>
        <v>0</v>
      </c>
      <c r="BE140" s="232">
        <f t="shared" si="111"/>
        <v>0</v>
      </c>
      <c r="BF140" s="225">
        <v>40897</v>
      </c>
      <c r="BG140" s="234">
        <f t="shared" si="115"/>
        <v>0</v>
      </c>
      <c r="BH140" s="235">
        <f t="shared" si="116"/>
        <v>0</v>
      </c>
      <c r="BI140" s="235">
        <f t="shared" si="117"/>
        <v>0</v>
      </c>
      <c r="BJ140" s="235">
        <f t="shared" si="118"/>
        <v>0</v>
      </c>
      <c r="BK140" s="235">
        <f t="shared" si="119"/>
        <v>0</v>
      </c>
      <c r="BL140" s="235">
        <f t="shared" si="120"/>
        <v>0</v>
      </c>
      <c r="BM140" s="235">
        <f t="shared" si="121"/>
        <v>0</v>
      </c>
      <c r="BN140" s="235">
        <f t="shared" si="122"/>
        <v>0</v>
      </c>
      <c r="BO140" s="235">
        <f t="shared" si="123"/>
        <v>0</v>
      </c>
      <c r="BP140" s="235">
        <f t="shared" si="124"/>
        <v>0</v>
      </c>
      <c r="BQ140" s="235">
        <f t="shared" si="125"/>
        <v>0</v>
      </c>
      <c r="BR140" s="235">
        <f t="shared" si="126"/>
        <v>0</v>
      </c>
      <c r="BS140" s="235">
        <f t="shared" si="127"/>
        <v>0</v>
      </c>
      <c r="BT140" s="235">
        <f t="shared" si="128"/>
        <v>0</v>
      </c>
      <c r="BU140" s="235">
        <f t="shared" si="129"/>
        <v>0</v>
      </c>
      <c r="BV140" s="235">
        <f t="shared" si="130"/>
        <v>0</v>
      </c>
      <c r="BW140" s="236">
        <f t="shared" si="131"/>
        <v>0</v>
      </c>
    </row>
    <row r="141" spans="1:75">
      <c r="A141" s="225">
        <v>40928</v>
      </c>
      <c r="B141" s="237"/>
      <c r="C141" s="230">
        <f t="shared" ref="C141:S141" si="153">ROUND((C58-C59),2)</f>
        <v>0</v>
      </c>
      <c r="D141" s="230">
        <f t="shared" si="153"/>
        <v>0</v>
      </c>
      <c r="E141" s="230">
        <f t="shared" si="153"/>
        <v>0</v>
      </c>
      <c r="F141" s="230">
        <f t="shared" si="153"/>
        <v>0</v>
      </c>
      <c r="G141" s="230">
        <f t="shared" si="153"/>
        <v>0</v>
      </c>
      <c r="H141" s="230">
        <f t="shared" si="153"/>
        <v>0</v>
      </c>
      <c r="I141" s="230">
        <f t="shared" si="153"/>
        <v>0</v>
      </c>
      <c r="J141" s="230">
        <f t="shared" si="153"/>
        <v>0</v>
      </c>
      <c r="K141" s="230">
        <f t="shared" si="153"/>
        <v>0</v>
      </c>
      <c r="L141" s="230">
        <f t="shared" si="153"/>
        <v>0</v>
      </c>
      <c r="M141" s="230">
        <f t="shared" si="153"/>
        <v>0</v>
      </c>
      <c r="N141" s="230">
        <f t="shared" si="153"/>
        <v>0</v>
      </c>
      <c r="O141" s="230">
        <f t="shared" si="153"/>
        <v>0</v>
      </c>
      <c r="P141" s="230">
        <f t="shared" si="153"/>
        <v>0</v>
      </c>
      <c r="Q141" s="230">
        <f t="shared" si="153"/>
        <v>0</v>
      </c>
      <c r="R141" s="230">
        <f t="shared" si="153"/>
        <v>0</v>
      </c>
      <c r="S141" s="230">
        <f t="shared" si="153"/>
        <v>0</v>
      </c>
      <c r="T141" s="209">
        <f t="shared" si="113"/>
        <v>0</v>
      </c>
      <c r="U141" s="225">
        <v>40928</v>
      </c>
      <c r="V141" s="225"/>
      <c r="W141" s="231"/>
      <c r="X141" s="231"/>
      <c r="Y141" s="231"/>
      <c r="Z141" s="231"/>
      <c r="AA141" s="231"/>
      <c r="AB141" s="231"/>
      <c r="AC141" s="231"/>
      <c r="AD141" s="231"/>
      <c r="AE141" s="231"/>
      <c r="AF141" s="231"/>
      <c r="AG141" s="231"/>
      <c r="AH141" s="231"/>
      <c r="AI141" s="231"/>
      <c r="AJ141" s="231"/>
      <c r="AK141" s="231"/>
      <c r="AL141" s="231"/>
      <c r="AM141" s="232"/>
      <c r="AN141" s="225">
        <v>40928</v>
      </c>
      <c r="AO141" s="233">
        <f t="shared" si="95"/>
        <v>0</v>
      </c>
      <c r="AP141" s="231">
        <f t="shared" si="96"/>
        <v>0</v>
      </c>
      <c r="AQ141" s="231">
        <f t="shared" si="97"/>
        <v>0</v>
      </c>
      <c r="AR141" s="231">
        <f t="shared" si="98"/>
        <v>0</v>
      </c>
      <c r="AS141" s="231">
        <f t="shared" si="99"/>
        <v>0</v>
      </c>
      <c r="AT141" s="231">
        <f t="shared" si="100"/>
        <v>0</v>
      </c>
      <c r="AU141" s="231">
        <f t="shared" si="101"/>
        <v>0</v>
      </c>
      <c r="AV141" s="231">
        <f t="shared" si="102"/>
        <v>0</v>
      </c>
      <c r="AW141" s="231">
        <f t="shared" si="103"/>
        <v>0</v>
      </c>
      <c r="AX141" s="231">
        <f t="shared" si="104"/>
        <v>0</v>
      </c>
      <c r="AY141" s="231">
        <f t="shared" si="105"/>
        <v>0</v>
      </c>
      <c r="AZ141" s="231">
        <f t="shared" si="106"/>
        <v>0</v>
      </c>
      <c r="BA141" s="231">
        <f t="shared" si="107"/>
        <v>0</v>
      </c>
      <c r="BB141" s="231">
        <f t="shared" si="108"/>
        <v>0</v>
      </c>
      <c r="BC141" s="231">
        <f t="shared" si="109"/>
        <v>0</v>
      </c>
      <c r="BD141" s="231">
        <f t="shared" si="110"/>
        <v>0</v>
      </c>
      <c r="BE141" s="232">
        <f t="shared" si="111"/>
        <v>0</v>
      </c>
      <c r="BF141" s="225">
        <v>40928</v>
      </c>
      <c r="BG141" s="234">
        <f t="shared" si="115"/>
        <v>0</v>
      </c>
      <c r="BH141" s="235">
        <f t="shared" si="116"/>
        <v>0</v>
      </c>
      <c r="BI141" s="235">
        <f t="shared" si="117"/>
        <v>0</v>
      </c>
      <c r="BJ141" s="235">
        <f t="shared" si="118"/>
        <v>0</v>
      </c>
      <c r="BK141" s="235">
        <f t="shared" si="119"/>
        <v>0</v>
      </c>
      <c r="BL141" s="235">
        <f t="shared" si="120"/>
        <v>0</v>
      </c>
      <c r="BM141" s="235">
        <f t="shared" si="121"/>
        <v>0</v>
      </c>
      <c r="BN141" s="235">
        <f t="shared" si="122"/>
        <v>0</v>
      </c>
      <c r="BO141" s="235">
        <f t="shared" si="123"/>
        <v>0</v>
      </c>
      <c r="BP141" s="235">
        <f t="shared" si="124"/>
        <v>0</v>
      </c>
      <c r="BQ141" s="235">
        <f t="shared" si="125"/>
        <v>0</v>
      </c>
      <c r="BR141" s="235">
        <f t="shared" si="126"/>
        <v>0</v>
      </c>
      <c r="BS141" s="235">
        <f t="shared" si="127"/>
        <v>0</v>
      </c>
      <c r="BT141" s="235">
        <f t="shared" si="128"/>
        <v>0</v>
      </c>
      <c r="BU141" s="235">
        <f t="shared" si="129"/>
        <v>0</v>
      </c>
      <c r="BV141" s="235">
        <f t="shared" si="130"/>
        <v>0</v>
      </c>
      <c r="BW141" s="236">
        <f t="shared" si="131"/>
        <v>0</v>
      </c>
    </row>
    <row r="142" spans="1:75" s="587" customFormat="1">
      <c r="A142" s="580">
        <v>40960</v>
      </c>
      <c r="B142" s="590"/>
      <c r="C142" s="577">
        <f t="shared" ref="C142:S142" si="154">ROUND((C59-C60),2)</f>
        <v>0</v>
      </c>
      <c r="D142" s="577">
        <f t="shared" si="154"/>
        <v>0</v>
      </c>
      <c r="E142" s="577">
        <f t="shared" si="154"/>
        <v>0</v>
      </c>
      <c r="F142" s="577">
        <f t="shared" si="154"/>
        <v>0</v>
      </c>
      <c r="G142" s="577">
        <f t="shared" si="154"/>
        <v>0</v>
      </c>
      <c r="H142" s="684">
        <f t="shared" si="154"/>
        <v>54658732.32</v>
      </c>
      <c r="I142" s="684">
        <f t="shared" si="154"/>
        <v>34770138.729999997</v>
      </c>
      <c r="J142" s="684">
        <f t="shared" si="154"/>
        <v>34354714.460000001</v>
      </c>
      <c r="K142" s="577">
        <f t="shared" si="154"/>
        <v>0</v>
      </c>
      <c r="L142" s="577">
        <f t="shared" si="154"/>
        <v>0</v>
      </c>
      <c r="M142" s="577">
        <f t="shared" si="154"/>
        <v>0</v>
      </c>
      <c r="N142" s="577">
        <f t="shared" si="154"/>
        <v>0</v>
      </c>
      <c r="O142" s="577">
        <f t="shared" si="154"/>
        <v>0</v>
      </c>
      <c r="P142" s="577">
        <f t="shared" si="154"/>
        <v>0</v>
      </c>
      <c r="Q142" s="577">
        <f t="shared" si="154"/>
        <v>0</v>
      </c>
      <c r="R142" s="577">
        <f t="shared" si="154"/>
        <v>0</v>
      </c>
      <c r="S142" s="577">
        <f t="shared" si="154"/>
        <v>0</v>
      </c>
      <c r="T142" s="591">
        <f t="shared" si="113"/>
        <v>123783585.50999999</v>
      </c>
      <c r="U142" s="580">
        <v>40960</v>
      </c>
      <c r="V142" s="580"/>
      <c r="W142" s="581"/>
      <c r="X142" s="581"/>
      <c r="Y142" s="581"/>
      <c r="Z142" s="581"/>
      <c r="AA142" s="593">
        <v>54658732.32</v>
      </c>
      <c r="AB142" s="593">
        <v>34770138.729999997</v>
      </c>
      <c r="AC142" s="593">
        <v>34354714.460000001</v>
      </c>
      <c r="AD142" s="581"/>
      <c r="AE142" s="581"/>
      <c r="AF142" s="581"/>
      <c r="AG142" s="581"/>
      <c r="AH142" s="581"/>
      <c r="AI142" s="581"/>
      <c r="AJ142" s="581"/>
      <c r="AK142" s="581"/>
      <c r="AL142" s="581"/>
      <c r="AM142" s="582"/>
      <c r="AN142" s="580">
        <v>40960</v>
      </c>
      <c r="AO142" s="583">
        <f t="shared" si="95"/>
        <v>0</v>
      </c>
      <c r="AP142" s="581">
        <f t="shared" si="96"/>
        <v>0</v>
      </c>
      <c r="AQ142" s="581">
        <f t="shared" si="97"/>
        <v>0</v>
      </c>
      <c r="AR142" s="581">
        <f t="shared" si="98"/>
        <v>0</v>
      </c>
      <c r="AS142" s="581">
        <f t="shared" si="99"/>
        <v>0</v>
      </c>
      <c r="AT142" s="581">
        <f t="shared" si="100"/>
        <v>0</v>
      </c>
      <c r="AU142" s="581">
        <f t="shared" si="101"/>
        <v>0</v>
      </c>
      <c r="AV142" s="581">
        <f t="shared" si="102"/>
        <v>0</v>
      </c>
      <c r="AW142" s="581">
        <f t="shared" si="103"/>
        <v>0</v>
      </c>
      <c r="AX142" s="581">
        <f t="shared" si="104"/>
        <v>0</v>
      </c>
      <c r="AY142" s="581">
        <f t="shared" si="105"/>
        <v>0</v>
      </c>
      <c r="AZ142" s="581">
        <f t="shared" si="106"/>
        <v>0</v>
      </c>
      <c r="BA142" s="581">
        <f t="shared" si="107"/>
        <v>0</v>
      </c>
      <c r="BB142" s="581">
        <f t="shared" si="108"/>
        <v>0</v>
      </c>
      <c r="BC142" s="581">
        <f t="shared" si="109"/>
        <v>0</v>
      </c>
      <c r="BD142" s="581">
        <f t="shared" si="110"/>
        <v>0</v>
      </c>
      <c r="BE142" s="582">
        <f t="shared" si="111"/>
        <v>0</v>
      </c>
      <c r="BF142" s="580">
        <v>40960</v>
      </c>
      <c r="BG142" s="592">
        <f t="shared" si="115"/>
        <v>0</v>
      </c>
      <c r="BH142" s="593">
        <f t="shared" si="116"/>
        <v>0</v>
      </c>
      <c r="BI142" s="593">
        <f t="shared" si="117"/>
        <v>0</v>
      </c>
      <c r="BJ142" s="593">
        <f t="shared" si="118"/>
        <v>0</v>
      </c>
      <c r="BK142" s="593">
        <f t="shared" si="119"/>
        <v>0</v>
      </c>
      <c r="BL142" s="593">
        <f t="shared" si="120"/>
        <v>0</v>
      </c>
      <c r="BM142" s="593">
        <f t="shared" si="121"/>
        <v>0</v>
      </c>
      <c r="BN142" s="593">
        <f t="shared" si="122"/>
        <v>0</v>
      </c>
      <c r="BO142" s="593">
        <f t="shared" si="123"/>
        <v>0</v>
      </c>
      <c r="BP142" s="593">
        <f t="shared" si="124"/>
        <v>0</v>
      </c>
      <c r="BQ142" s="593">
        <f t="shared" si="125"/>
        <v>0</v>
      </c>
      <c r="BR142" s="593">
        <f t="shared" si="126"/>
        <v>0</v>
      </c>
      <c r="BS142" s="593">
        <f t="shared" si="127"/>
        <v>0</v>
      </c>
      <c r="BT142" s="593">
        <f t="shared" si="128"/>
        <v>0</v>
      </c>
      <c r="BU142" s="593">
        <f t="shared" si="129"/>
        <v>0</v>
      </c>
      <c r="BV142" s="593">
        <f t="shared" si="130"/>
        <v>0</v>
      </c>
      <c r="BW142" s="594">
        <f t="shared" si="131"/>
        <v>0</v>
      </c>
    </row>
    <row r="143" spans="1:75">
      <c r="A143" s="225">
        <v>40988</v>
      </c>
      <c r="B143" s="237"/>
      <c r="C143" s="230">
        <f t="shared" ref="C143:S143" si="155">ROUND((C60-C61),2)</f>
        <v>0</v>
      </c>
      <c r="D143" s="230">
        <f t="shared" si="155"/>
        <v>0</v>
      </c>
      <c r="E143" s="230">
        <f t="shared" si="155"/>
        <v>0</v>
      </c>
      <c r="F143" s="230">
        <f t="shared" si="155"/>
        <v>0</v>
      </c>
      <c r="G143" s="230">
        <f t="shared" si="155"/>
        <v>0</v>
      </c>
      <c r="H143" s="364">
        <f t="shared" si="155"/>
        <v>0</v>
      </c>
      <c r="I143" s="364">
        <f t="shared" si="155"/>
        <v>0</v>
      </c>
      <c r="J143" s="364">
        <f t="shared" si="155"/>
        <v>0</v>
      </c>
      <c r="K143" s="230">
        <f t="shared" si="155"/>
        <v>0</v>
      </c>
      <c r="L143" s="230">
        <f t="shared" si="155"/>
        <v>0</v>
      </c>
      <c r="M143" s="230">
        <f t="shared" si="155"/>
        <v>0</v>
      </c>
      <c r="N143" s="230">
        <f t="shared" si="155"/>
        <v>0</v>
      </c>
      <c r="O143" s="230">
        <f t="shared" si="155"/>
        <v>0</v>
      </c>
      <c r="P143" s="230">
        <f t="shared" si="155"/>
        <v>0</v>
      </c>
      <c r="Q143" s="230">
        <f t="shared" si="155"/>
        <v>0</v>
      </c>
      <c r="R143" s="230">
        <f t="shared" si="155"/>
        <v>0</v>
      </c>
      <c r="S143" s="230">
        <f t="shared" si="155"/>
        <v>0</v>
      </c>
      <c r="T143" s="209">
        <f t="shared" si="113"/>
        <v>0</v>
      </c>
      <c r="U143" s="225">
        <v>40988</v>
      </c>
      <c r="V143" s="225"/>
      <c r="W143" s="231"/>
      <c r="X143" s="231"/>
      <c r="Y143" s="231"/>
      <c r="Z143" s="231"/>
      <c r="AA143" s="231"/>
      <c r="AB143" s="231"/>
      <c r="AC143" s="231"/>
      <c r="AD143" s="231"/>
      <c r="AE143" s="231"/>
      <c r="AF143" s="231"/>
      <c r="AG143" s="231"/>
      <c r="AH143" s="231"/>
      <c r="AI143" s="231"/>
      <c r="AJ143" s="231"/>
      <c r="AK143" s="231"/>
      <c r="AL143" s="231"/>
      <c r="AM143" s="232"/>
      <c r="AN143" s="225">
        <v>40988</v>
      </c>
      <c r="AO143" s="233">
        <f t="shared" si="95"/>
        <v>0</v>
      </c>
      <c r="AP143" s="231">
        <f t="shared" si="96"/>
        <v>0</v>
      </c>
      <c r="AQ143" s="231">
        <f t="shared" si="97"/>
        <v>0</v>
      </c>
      <c r="AR143" s="231">
        <f t="shared" si="98"/>
        <v>0</v>
      </c>
      <c r="AS143" s="231">
        <f t="shared" si="99"/>
        <v>0</v>
      </c>
      <c r="AT143" s="231">
        <f t="shared" si="100"/>
        <v>0</v>
      </c>
      <c r="AU143" s="231">
        <f t="shared" si="101"/>
        <v>0</v>
      </c>
      <c r="AV143" s="231">
        <f t="shared" si="102"/>
        <v>0</v>
      </c>
      <c r="AW143" s="231">
        <f t="shared" si="103"/>
        <v>0</v>
      </c>
      <c r="AX143" s="231">
        <f t="shared" si="104"/>
        <v>0</v>
      </c>
      <c r="AY143" s="231">
        <f t="shared" si="105"/>
        <v>0</v>
      </c>
      <c r="AZ143" s="231">
        <f t="shared" si="106"/>
        <v>0</v>
      </c>
      <c r="BA143" s="231">
        <f t="shared" si="107"/>
        <v>0</v>
      </c>
      <c r="BB143" s="231">
        <f t="shared" si="108"/>
        <v>0</v>
      </c>
      <c r="BC143" s="231">
        <f t="shared" si="109"/>
        <v>0</v>
      </c>
      <c r="BD143" s="231">
        <f t="shared" si="110"/>
        <v>0</v>
      </c>
      <c r="BE143" s="232">
        <f t="shared" si="111"/>
        <v>0</v>
      </c>
      <c r="BF143" s="225">
        <v>40988</v>
      </c>
      <c r="BG143" s="234">
        <f t="shared" si="115"/>
        <v>0</v>
      </c>
      <c r="BH143" s="235">
        <f t="shared" si="116"/>
        <v>0</v>
      </c>
      <c r="BI143" s="235">
        <f t="shared" si="117"/>
        <v>0</v>
      </c>
      <c r="BJ143" s="235">
        <f t="shared" si="118"/>
        <v>0</v>
      </c>
      <c r="BK143" s="235">
        <f t="shared" si="119"/>
        <v>0</v>
      </c>
      <c r="BL143" s="235">
        <f t="shared" si="120"/>
        <v>0</v>
      </c>
      <c r="BM143" s="235">
        <f t="shared" si="121"/>
        <v>0</v>
      </c>
      <c r="BN143" s="235">
        <f t="shared" si="122"/>
        <v>0</v>
      </c>
      <c r="BO143" s="235">
        <f t="shared" si="123"/>
        <v>0</v>
      </c>
      <c r="BP143" s="235">
        <f t="shared" si="124"/>
        <v>0</v>
      </c>
      <c r="BQ143" s="235">
        <f t="shared" si="125"/>
        <v>0</v>
      </c>
      <c r="BR143" s="235">
        <f t="shared" si="126"/>
        <v>0</v>
      </c>
      <c r="BS143" s="235">
        <f t="shared" si="127"/>
        <v>0</v>
      </c>
      <c r="BT143" s="235">
        <f t="shared" si="128"/>
        <v>0</v>
      </c>
      <c r="BU143" s="235">
        <f t="shared" si="129"/>
        <v>0</v>
      </c>
      <c r="BV143" s="235">
        <f t="shared" si="130"/>
        <v>0</v>
      </c>
      <c r="BW143" s="236">
        <f t="shared" si="131"/>
        <v>0</v>
      </c>
    </row>
    <row r="144" spans="1:75">
      <c r="A144" s="225">
        <v>41019</v>
      </c>
      <c r="B144" s="237"/>
      <c r="C144" s="230">
        <f t="shared" ref="C144:S144" si="156">ROUND((C61-C62),2)</f>
        <v>0</v>
      </c>
      <c r="D144" s="230">
        <f t="shared" si="156"/>
        <v>0</v>
      </c>
      <c r="E144" s="230">
        <f t="shared" si="156"/>
        <v>0</v>
      </c>
      <c r="F144" s="230">
        <f t="shared" si="156"/>
        <v>0</v>
      </c>
      <c r="G144" s="230">
        <f t="shared" si="156"/>
        <v>0</v>
      </c>
      <c r="H144" s="364">
        <f t="shared" si="156"/>
        <v>0</v>
      </c>
      <c r="I144" s="364">
        <f t="shared" si="156"/>
        <v>0</v>
      </c>
      <c r="J144" s="364">
        <f t="shared" si="156"/>
        <v>0</v>
      </c>
      <c r="K144" s="230">
        <f t="shared" si="156"/>
        <v>0</v>
      </c>
      <c r="L144" s="230">
        <f t="shared" si="156"/>
        <v>0</v>
      </c>
      <c r="M144" s="230">
        <f t="shared" si="156"/>
        <v>0</v>
      </c>
      <c r="N144" s="230">
        <f t="shared" si="156"/>
        <v>0</v>
      </c>
      <c r="O144" s="230">
        <f t="shared" si="156"/>
        <v>0</v>
      </c>
      <c r="P144" s="230">
        <f t="shared" si="156"/>
        <v>0</v>
      </c>
      <c r="Q144" s="230">
        <f t="shared" si="156"/>
        <v>0</v>
      </c>
      <c r="R144" s="230">
        <f t="shared" si="156"/>
        <v>0</v>
      </c>
      <c r="S144" s="230">
        <f t="shared" si="156"/>
        <v>0</v>
      </c>
      <c r="T144" s="209">
        <f t="shared" si="113"/>
        <v>0</v>
      </c>
      <c r="U144" s="225">
        <v>41019</v>
      </c>
      <c r="V144" s="225"/>
      <c r="W144" s="231"/>
      <c r="X144" s="231"/>
      <c r="Y144" s="231"/>
      <c r="Z144" s="231"/>
      <c r="AA144" s="231"/>
      <c r="AB144" s="231"/>
      <c r="AC144" s="231"/>
      <c r="AD144" s="231"/>
      <c r="AE144" s="231"/>
      <c r="AF144" s="231"/>
      <c r="AG144" s="231"/>
      <c r="AH144" s="231"/>
      <c r="AI144" s="231"/>
      <c r="AJ144" s="231"/>
      <c r="AK144" s="231"/>
      <c r="AL144" s="231"/>
      <c r="AM144" s="232"/>
      <c r="AN144" s="225">
        <v>41019</v>
      </c>
      <c r="AO144" s="233">
        <f t="shared" si="95"/>
        <v>0</v>
      </c>
      <c r="AP144" s="231">
        <f t="shared" si="96"/>
        <v>0</v>
      </c>
      <c r="AQ144" s="231">
        <f t="shared" si="97"/>
        <v>0</v>
      </c>
      <c r="AR144" s="231">
        <f t="shared" si="98"/>
        <v>0</v>
      </c>
      <c r="AS144" s="231">
        <f t="shared" si="99"/>
        <v>0</v>
      </c>
      <c r="AT144" s="231">
        <f t="shared" si="100"/>
        <v>0</v>
      </c>
      <c r="AU144" s="231">
        <f t="shared" si="101"/>
        <v>0</v>
      </c>
      <c r="AV144" s="231">
        <f t="shared" si="102"/>
        <v>0</v>
      </c>
      <c r="AW144" s="231">
        <f t="shared" si="103"/>
        <v>0</v>
      </c>
      <c r="AX144" s="231">
        <f t="shared" si="104"/>
        <v>0</v>
      </c>
      <c r="AY144" s="231">
        <f t="shared" si="105"/>
        <v>0</v>
      </c>
      <c r="AZ144" s="231">
        <f t="shared" si="106"/>
        <v>0</v>
      </c>
      <c r="BA144" s="231">
        <f t="shared" si="107"/>
        <v>0</v>
      </c>
      <c r="BB144" s="231">
        <f t="shared" si="108"/>
        <v>0</v>
      </c>
      <c r="BC144" s="231">
        <f t="shared" si="109"/>
        <v>0</v>
      </c>
      <c r="BD144" s="231">
        <f t="shared" si="110"/>
        <v>0</v>
      </c>
      <c r="BE144" s="232">
        <f t="shared" si="111"/>
        <v>0</v>
      </c>
      <c r="BF144" s="225">
        <v>41019</v>
      </c>
      <c r="BG144" s="234">
        <f t="shared" si="115"/>
        <v>0</v>
      </c>
      <c r="BH144" s="235">
        <f t="shared" si="116"/>
        <v>0</v>
      </c>
      <c r="BI144" s="235">
        <f t="shared" si="117"/>
        <v>0</v>
      </c>
      <c r="BJ144" s="235">
        <f t="shared" si="118"/>
        <v>0</v>
      </c>
      <c r="BK144" s="235">
        <f t="shared" si="119"/>
        <v>0</v>
      </c>
      <c r="BL144" s="235">
        <f t="shared" si="120"/>
        <v>0</v>
      </c>
      <c r="BM144" s="235">
        <f t="shared" si="121"/>
        <v>0</v>
      </c>
      <c r="BN144" s="235">
        <f t="shared" si="122"/>
        <v>0</v>
      </c>
      <c r="BO144" s="235">
        <f t="shared" si="123"/>
        <v>0</v>
      </c>
      <c r="BP144" s="235">
        <f t="shared" si="124"/>
        <v>0</v>
      </c>
      <c r="BQ144" s="235">
        <f t="shared" si="125"/>
        <v>0</v>
      </c>
      <c r="BR144" s="235">
        <f t="shared" si="126"/>
        <v>0</v>
      </c>
      <c r="BS144" s="235">
        <f t="shared" si="127"/>
        <v>0</v>
      </c>
      <c r="BT144" s="235">
        <f t="shared" si="128"/>
        <v>0</v>
      </c>
      <c r="BU144" s="235">
        <f t="shared" si="129"/>
        <v>0</v>
      </c>
      <c r="BV144" s="235">
        <f t="shared" si="130"/>
        <v>0</v>
      </c>
      <c r="BW144" s="236">
        <f t="shared" si="131"/>
        <v>0</v>
      </c>
    </row>
    <row r="145" spans="1:75" s="1253" customFormat="1">
      <c r="A145" s="1247">
        <v>41050</v>
      </c>
      <c r="B145" s="1254"/>
      <c r="C145" s="1255">
        <f t="shared" ref="C145:S145" si="157">ROUND((C62-C63),2)</f>
        <v>0</v>
      </c>
      <c r="D145" s="1255">
        <f t="shared" si="157"/>
        <v>0</v>
      </c>
      <c r="E145" s="1255">
        <f t="shared" si="157"/>
        <v>0</v>
      </c>
      <c r="F145" s="1255">
        <f t="shared" si="157"/>
        <v>0</v>
      </c>
      <c r="G145" s="1255">
        <f t="shared" si="157"/>
        <v>0</v>
      </c>
      <c r="H145" s="1256">
        <f t="shared" si="157"/>
        <v>51693037.450000003</v>
      </c>
      <c r="I145" s="1256">
        <f t="shared" si="157"/>
        <v>32883566.949999999</v>
      </c>
      <c r="J145" s="1256">
        <f t="shared" si="157"/>
        <v>32490682.93</v>
      </c>
      <c r="K145" s="1255">
        <f t="shared" si="157"/>
        <v>0</v>
      </c>
      <c r="L145" s="1255">
        <f t="shared" si="157"/>
        <v>0</v>
      </c>
      <c r="M145" s="1255">
        <f t="shared" si="157"/>
        <v>0</v>
      </c>
      <c r="N145" s="1255">
        <f t="shared" si="157"/>
        <v>0</v>
      </c>
      <c r="O145" s="1255">
        <f t="shared" si="157"/>
        <v>0</v>
      </c>
      <c r="P145" s="1255">
        <f t="shared" si="157"/>
        <v>0</v>
      </c>
      <c r="Q145" s="1255">
        <f t="shared" si="157"/>
        <v>0</v>
      </c>
      <c r="R145" s="1255">
        <f t="shared" si="157"/>
        <v>0</v>
      </c>
      <c r="S145" s="1255">
        <f t="shared" si="157"/>
        <v>0</v>
      </c>
      <c r="T145" s="1257">
        <f t="shared" si="113"/>
        <v>117067287.33000001</v>
      </c>
      <c r="U145" s="1247">
        <v>41050</v>
      </c>
      <c r="V145" s="1247"/>
      <c r="W145" s="1248"/>
      <c r="X145" s="1248"/>
      <c r="Y145" s="1248"/>
      <c r="Z145" s="1248"/>
      <c r="AA145" s="593">
        <v>51693037.450000003</v>
      </c>
      <c r="AB145" s="593">
        <v>32883566.949999999</v>
      </c>
      <c r="AC145" s="593">
        <v>32490682.93</v>
      </c>
      <c r="AD145" s="1248"/>
      <c r="AE145" s="1248"/>
      <c r="AF145" s="1248"/>
      <c r="AG145" s="1248"/>
      <c r="AH145" s="1248"/>
      <c r="AI145" s="1248"/>
      <c r="AJ145" s="1248"/>
      <c r="AK145" s="1248"/>
      <c r="AL145" s="1248"/>
      <c r="AM145" s="1249"/>
      <c r="AN145" s="1247">
        <v>41050</v>
      </c>
      <c r="AO145" s="1250">
        <f t="shared" si="95"/>
        <v>0</v>
      </c>
      <c r="AP145" s="1248">
        <f t="shared" si="96"/>
        <v>0</v>
      </c>
      <c r="AQ145" s="1248">
        <f t="shared" si="97"/>
        <v>0</v>
      </c>
      <c r="AR145" s="1248">
        <f t="shared" si="98"/>
        <v>0</v>
      </c>
      <c r="AS145" s="1248">
        <f t="shared" si="99"/>
        <v>0</v>
      </c>
      <c r="AT145" s="1248">
        <f t="shared" si="100"/>
        <v>0</v>
      </c>
      <c r="AU145" s="1248">
        <f t="shared" si="101"/>
        <v>0</v>
      </c>
      <c r="AV145" s="1248">
        <f t="shared" si="102"/>
        <v>0</v>
      </c>
      <c r="AW145" s="1248">
        <f t="shared" si="103"/>
        <v>0</v>
      </c>
      <c r="AX145" s="1248">
        <f t="shared" si="104"/>
        <v>0</v>
      </c>
      <c r="AY145" s="1248">
        <f t="shared" si="105"/>
        <v>0</v>
      </c>
      <c r="AZ145" s="1248">
        <f t="shared" si="106"/>
        <v>0</v>
      </c>
      <c r="BA145" s="1248">
        <f t="shared" si="107"/>
        <v>0</v>
      </c>
      <c r="BB145" s="1248">
        <f t="shared" si="108"/>
        <v>0</v>
      </c>
      <c r="BC145" s="1248">
        <f t="shared" si="109"/>
        <v>0</v>
      </c>
      <c r="BD145" s="1248">
        <f t="shared" si="110"/>
        <v>0</v>
      </c>
      <c r="BE145" s="1249">
        <f t="shared" si="111"/>
        <v>0</v>
      </c>
      <c r="BF145" s="1247">
        <v>41050</v>
      </c>
      <c r="BG145" s="1258">
        <f t="shared" si="115"/>
        <v>0</v>
      </c>
      <c r="BH145" s="1259">
        <f t="shared" si="116"/>
        <v>0</v>
      </c>
      <c r="BI145" s="1259">
        <f t="shared" si="117"/>
        <v>0</v>
      </c>
      <c r="BJ145" s="1259">
        <f t="shared" si="118"/>
        <v>0</v>
      </c>
      <c r="BK145" s="1259">
        <f t="shared" si="119"/>
        <v>0</v>
      </c>
      <c r="BL145" s="1259">
        <f t="shared" si="120"/>
        <v>0</v>
      </c>
      <c r="BM145" s="1259">
        <f t="shared" si="121"/>
        <v>0</v>
      </c>
      <c r="BN145" s="1259">
        <f t="shared" si="122"/>
        <v>0</v>
      </c>
      <c r="BO145" s="1259">
        <f t="shared" si="123"/>
        <v>0</v>
      </c>
      <c r="BP145" s="1259">
        <f t="shared" si="124"/>
        <v>0</v>
      </c>
      <c r="BQ145" s="1259">
        <f t="shared" si="125"/>
        <v>0</v>
      </c>
      <c r="BR145" s="1259">
        <f t="shared" si="126"/>
        <v>0</v>
      </c>
      <c r="BS145" s="1259">
        <f t="shared" si="127"/>
        <v>0</v>
      </c>
      <c r="BT145" s="1259">
        <f t="shared" si="128"/>
        <v>0</v>
      </c>
      <c r="BU145" s="1259">
        <f t="shared" si="129"/>
        <v>0</v>
      </c>
      <c r="BV145" s="1259">
        <f t="shared" si="130"/>
        <v>0</v>
      </c>
      <c r="BW145" s="1260">
        <f t="shared" si="131"/>
        <v>0</v>
      </c>
    </row>
    <row r="146" spans="1:75">
      <c r="A146" s="225">
        <v>41080</v>
      </c>
      <c r="B146" s="237"/>
      <c r="C146" s="230">
        <f t="shared" ref="C146:S146" si="158">ROUND((C63-C64),2)</f>
        <v>0</v>
      </c>
      <c r="D146" s="230">
        <f t="shared" si="158"/>
        <v>0</v>
      </c>
      <c r="E146" s="230">
        <f t="shared" si="158"/>
        <v>0</v>
      </c>
      <c r="F146" s="230">
        <f t="shared" si="158"/>
        <v>0</v>
      </c>
      <c r="G146" s="230">
        <f t="shared" si="158"/>
        <v>0</v>
      </c>
      <c r="H146" s="364">
        <f t="shared" si="158"/>
        <v>0</v>
      </c>
      <c r="I146" s="364">
        <f t="shared" si="158"/>
        <v>0</v>
      </c>
      <c r="J146" s="364">
        <f t="shared" si="158"/>
        <v>0</v>
      </c>
      <c r="K146" s="230">
        <f t="shared" si="158"/>
        <v>0</v>
      </c>
      <c r="L146" s="230">
        <f t="shared" si="158"/>
        <v>0</v>
      </c>
      <c r="M146" s="230">
        <f t="shared" si="158"/>
        <v>0</v>
      </c>
      <c r="N146" s="230">
        <f t="shared" si="158"/>
        <v>0</v>
      </c>
      <c r="O146" s="230">
        <f t="shared" si="158"/>
        <v>0</v>
      </c>
      <c r="P146" s="230">
        <f t="shared" si="158"/>
        <v>0</v>
      </c>
      <c r="Q146" s="230">
        <f t="shared" si="158"/>
        <v>0</v>
      </c>
      <c r="R146" s="230">
        <f t="shared" si="158"/>
        <v>0</v>
      </c>
      <c r="S146" s="230">
        <f t="shared" si="158"/>
        <v>0</v>
      </c>
      <c r="T146" s="209">
        <f t="shared" si="113"/>
        <v>0</v>
      </c>
      <c r="U146" s="225">
        <v>41080</v>
      </c>
      <c r="V146" s="225"/>
      <c r="W146" s="231"/>
      <c r="X146" s="231"/>
      <c r="Y146" s="231"/>
      <c r="Z146" s="231"/>
      <c r="AA146" s="231"/>
      <c r="AB146" s="231"/>
      <c r="AC146" s="231"/>
      <c r="AD146" s="231"/>
      <c r="AE146" s="231"/>
      <c r="AF146" s="231"/>
      <c r="AG146" s="231"/>
      <c r="AH146" s="231"/>
      <c r="AI146" s="231"/>
      <c r="AJ146" s="231"/>
      <c r="AK146" s="231"/>
      <c r="AL146" s="231"/>
      <c r="AM146" s="232"/>
      <c r="AN146" s="225">
        <v>41080</v>
      </c>
      <c r="AO146" s="233">
        <f t="shared" si="95"/>
        <v>0</v>
      </c>
      <c r="AP146" s="231">
        <f t="shared" si="96"/>
        <v>0</v>
      </c>
      <c r="AQ146" s="231">
        <f t="shared" si="97"/>
        <v>0</v>
      </c>
      <c r="AR146" s="231">
        <f t="shared" si="98"/>
        <v>0</v>
      </c>
      <c r="AS146" s="231">
        <f t="shared" si="99"/>
        <v>0</v>
      </c>
      <c r="AT146" s="231">
        <f t="shared" si="100"/>
        <v>0</v>
      </c>
      <c r="AU146" s="231">
        <f t="shared" si="101"/>
        <v>0</v>
      </c>
      <c r="AV146" s="231">
        <f t="shared" si="102"/>
        <v>0</v>
      </c>
      <c r="AW146" s="231">
        <f t="shared" si="103"/>
        <v>0</v>
      </c>
      <c r="AX146" s="231">
        <f t="shared" si="104"/>
        <v>0</v>
      </c>
      <c r="AY146" s="231">
        <f t="shared" si="105"/>
        <v>0</v>
      </c>
      <c r="AZ146" s="231">
        <f t="shared" si="106"/>
        <v>0</v>
      </c>
      <c r="BA146" s="231">
        <f t="shared" si="107"/>
        <v>0</v>
      </c>
      <c r="BB146" s="231">
        <f t="shared" si="108"/>
        <v>0</v>
      </c>
      <c r="BC146" s="231">
        <f t="shared" si="109"/>
        <v>0</v>
      </c>
      <c r="BD146" s="231">
        <f t="shared" si="110"/>
        <v>0</v>
      </c>
      <c r="BE146" s="232">
        <f t="shared" si="111"/>
        <v>0</v>
      </c>
      <c r="BF146" s="225">
        <v>41080</v>
      </c>
      <c r="BG146" s="234">
        <f t="shared" si="115"/>
        <v>0</v>
      </c>
      <c r="BH146" s="235">
        <f t="shared" si="116"/>
        <v>0</v>
      </c>
      <c r="BI146" s="235">
        <f t="shared" si="117"/>
        <v>0</v>
      </c>
      <c r="BJ146" s="235">
        <f t="shared" si="118"/>
        <v>0</v>
      </c>
      <c r="BK146" s="235">
        <f t="shared" si="119"/>
        <v>0</v>
      </c>
      <c r="BL146" s="235">
        <f t="shared" si="120"/>
        <v>0</v>
      </c>
      <c r="BM146" s="235">
        <f t="shared" si="121"/>
        <v>0</v>
      </c>
      <c r="BN146" s="235">
        <f t="shared" si="122"/>
        <v>0</v>
      </c>
      <c r="BO146" s="235">
        <f t="shared" si="123"/>
        <v>0</v>
      </c>
      <c r="BP146" s="235">
        <f t="shared" si="124"/>
        <v>0</v>
      </c>
      <c r="BQ146" s="235">
        <f t="shared" si="125"/>
        <v>0</v>
      </c>
      <c r="BR146" s="235">
        <f t="shared" si="126"/>
        <v>0</v>
      </c>
      <c r="BS146" s="235">
        <f t="shared" si="127"/>
        <v>0</v>
      </c>
      <c r="BT146" s="235">
        <f t="shared" si="128"/>
        <v>0</v>
      </c>
      <c r="BU146" s="235">
        <f t="shared" si="129"/>
        <v>0</v>
      </c>
      <c r="BV146" s="235">
        <f t="shared" si="130"/>
        <v>0</v>
      </c>
      <c r="BW146" s="236">
        <f t="shared" si="131"/>
        <v>0</v>
      </c>
    </row>
    <row r="147" spans="1:75">
      <c r="A147" s="225">
        <v>41110</v>
      </c>
      <c r="B147" s="237"/>
      <c r="C147" s="230">
        <f t="shared" ref="C147:S147" si="159">ROUND((C64-C65),2)</f>
        <v>0</v>
      </c>
      <c r="D147" s="230">
        <f t="shared" si="159"/>
        <v>0</v>
      </c>
      <c r="E147" s="230">
        <f t="shared" si="159"/>
        <v>0</v>
      </c>
      <c r="F147" s="230">
        <f t="shared" si="159"/>
        <v>0</v>
      </c>
      <c r="G147" s="230">
        <f t="shared" si="159"/>
        <v>0</v>
      </c>
      <c r="H147" s="364">
        <f t="shared" si="159"/>
        <v>0</v>
      </c>
      <c r="I147" s="364">
        <f t="shared" si="159"/>
        <v>0</v>
      </c>
      <c r="J147" s="364">
        <f t="shared" si="159"/>
        <v>0</v>
      </c>
      <c r="K147" s="230">
        <f t="shared" si="159"/>
        <v>0</v>
      </c>
      <c r="L147" s="230">
        <f t="shared" si="159"/>
        <v>0</v>
      </c>
      <c r="M147" s="230">
        <f t="shared" si="159"/>
        <v>0</v>
      </c>
      <c r="N147" s="230">
        <f t="shared" si="159"/>
        <v>0</v>
      </c>
      <c r="O147" s="230">
        <f t="shared" si="159"/>
        <v>0</v>
      </c>
      <c r="P147" s="230">
        <f t="shared" si="159"/>
        <v>0</v>
      </c>
      <c r="Q147" s="230">
        <f t="shared" si="159"/>
        <v>0</v>
      </c>
      <c r="R147" s="230">
        <f t="shared" si="159"/>
        <v>0</v>
      </c>
      <c r="S147" s="230">
        <f t="shared" si="159"/>
        <v>0</v>
      </c>
      <c r="T147" s="209">
        <f t="shared" si="113"/>
        <v>0</v>
      </c>
      <c r="U147" s="225">
        <v>41110</v>
      </c>
      <c r="V147" s="225"/>
      <c r="W147" s="231"/>
      <c r="X147" s="231"/>
      <c r="Y147" s="231"/>
      <c r="Z147" s="231"/>
      <c r="AA147" s="231"/>
      <c r="AB147" s="231"/>
      <c r="AC147" s="231"/>
      <c r="AD147" s="231"/>
      <c r="AE147" s="231"/>
      <c r="AF147" s="231"/>
      <c r="AG147" s="231"/>
      <c r="AH147" s="231"/>
      <c r="AI147" s="231"/>
      <c r="AJ147" s="231"/>
      <c r="AK147" s="231"/>
      <c r="AL147" s="231"/>
      <c r="AM147" s="232"/>
      <c r="AN147" s="225">
        <v>41110</v>
      </c>
      <c r="AO147" s="233">
        <f t="shared" si="95"/>
        <v>0</v>
      </c>
      <c r="AP147" s="231">
        <f t="shared" si="96"/>
        <v>0</v>
      </c>
      <c r="AQ147" s="231">
        <f t="shared" si="97"/>
        <v>0</v>
      </c>
      <c r="AR147" s="231">
        <f t="shared" si="98"/>
        <v>0</v>
      </c>
      <c r="AS147" s="231">
        <f t="shared" si="99"/>
        <v>0</v>
      </c>
      <c r="AT147" s="231">
        <f t="shared" si="100"/>
        <v>0</v>
      </c>
      <c r="AU147" s="231">
        <f t="shared" si="101"/>
        <v>0</v>
      </c>
      <c r="AV147" s="231">
        <f t="shared" si="102"/>
        <v>0</v>
      </c>
      <c r="AW147" s="231">
        <f t="shared" si="103"/>
        <v>0</v>
      </c>
      <c r="AX147" s="231">
        <f t="shared" si="104"/>
        <v>0</v>
      </c>
      <c r="AY147" s="231">
        <f t="shared" si="105"/>
        <v>0</v>
      </c>
      <c r="AZ147" s="231">
        <f t="shared" si="106"/>
        <v>0</v>
      </c>
      <c r="BA147" s="231">
        <f t="shared" si="107"/>
        <v>0</v>
      </c>
      <c r="BB147" s="231">
        <f t="shared" si="108"/>
        <v>0</v>
      </c>
      <c r="BC147" s="231">
        <f t="shared" si="109"/>
        <v>0</v>
      </c>
      <c r="BD147" s="231">
        <f t="shared" si="110"/>
        <v>0</v>
      </c>
      <c r="BE147" s="232">
        <f t="shared" si="111"/>
        <v>0</v>
      </c>
      <c r="BF147" s="225">
        <v>41110</v>
      </c>
      <c r="BG147" s="234">
        <f t="shared" si="115"/>
        <v>0</v>
      </c>
      <c r="BH147" s="235">
        <f t="shared" si="116"/>
        <v>0</v>
      </c>
      <c r="BI147" s="235">
        <f t="shared" si="117"/>
        <v>0</v>
      </c>
      <c r="BJ147" s="235">
        <f t="shared" si="118"/>
        <v>0</v>
      </c>
      <c r="BK147" s="235">
        <f t="shared" si="119"/>
        <v>0</v>
      </c>
      <c r="BL147" s="235">
        <f t="shared" si="120"/>
        <v>0</v>
      </c>
      <c r="BM147" s="235">
        <f t="shared" si="121"/>
        <v>0</v>
      </c>
      <c r="BN147" s="235">
        <f t="shared" si="122"/>
        <v>0</v>
      </c>
      <c r="BO147" s="235">
        <f t="shared" si="123"/>
        <v>0</v>
      </c>
      <c r="BP147" s="235">
        <f t="shared" si="124"/>
        <v>0</v>
      </c>
      <c r="BQ147" s="235">
        <f t="shared" si="125"/>
        <v>0</v>
      </c>
      <c r="BR147" s="235">
        <f t="shared" si="126"/>
        <v>0</v>
      </c>
      <c r="BS147" s="235">
        <f t="shared" si="127"/>
        <v>0</v>
      </c>
      <c r="BT147" s="235">
        <f t="shared" si="128"/>
        <v>0</v>
      </c>
      <c r="BU147" s="235">
        <f t="shared" si="129"/>
        <v>0</v>
      </c>
      <c r="BV147" s="235">
        <f t="shared" si="130"/>
        <v>0</v>
      </c>
      <c r="BW147" s="236">
        <f t="shared" si="131"/>
        <v>0</v>
      </c>
    </row>
    <row r="148" spans="1:75">
      <c r="A148" s="225">
        <v>41141</v>
      </c>
      <c r="B148" s="237"/>
      <c r="C148" s="230">
        <f t="shared" ref="C148:S148" si="160">ROUND((C65-C66),2)</f>
        <v>0</v>
      </c>
      <c r="D148" s="230">
        <f t="shared" si="160"/>
        <v>0</v>
      </c>
      <c r="E148" s="230">
        <f t="shared" si="160"/>
        <v>0</v>
      </c>
      <c r="F148" s="230">
        <f t="shared" si="160"/>
        <v>0</v>
      </c>
      <c r="G148" s="230">
        <f t="shared" si="160"/>
        <v>0</v>
      </c>
      <c r="H148" s="1256">
        <f>ROUND((H65-H66),2)-731354236.61</f>
        <v>0</v>
      </c>
      <c r="I148" s="1256">
        <f>ROUND((I65-I66),2)-465237432.12</f>
        <v>0</v>
      </c>
      <c r="J148" s="1256">
        <f>ROUND((J65-J66),2)-459678900.32</f>
        <v>0</v>
      </c>
      <c r="K148" s="230">
        <f t="shared" si="160"/>
        <v>0</v>
      </c>
      <c r="L148" s="230">
        <f t="shared" si="160"/>
        <v>0</v>
      </c>
      <c r="M148" s="230">
        <f t="shared" si="160"/>
        <v>0</v>
      </c>
      <c r="N148" s="230">
        <f t="shared" si="160"/>
        <v>0</v>
      </c>
      <c r="O148" s="230">
        <f t="shared" si="160"/>
        <v>0</v>
      </c>
      <c r="P148" s="230">
        <f t="shared" si="160"/>
        <v>0</v>
      </c>
      <c r="Q148" s="230">
        <f t="shared" si="160"/>
        <v>0</v>
      </c>
      <c r="R148" s="230">
        <f t="shared" si="160"/>
        <v>0</v>
      </c>
      <c r="S148" s="230">
        <f t="shared" si="160"/>
        <v>0</v>
      </c>
      <c r="T148" s="209">
        <f t="shared" si="113"/>
        <v>0</v>
      </c>
      <c r="U148" s="225">
        <v>41141</v>
      </c>
      <c r="V148" s="225"/>
      <c r="W148" s="231"/>
      <c r="X148" s="231"/>
      <c r="Y148" s="231"/>
      <c r="Z148" s="231"/>
      <c r="AA148" s="231"/>
      <c r="AB148" s="231"/>
      <c r="AC148" s="231"/>
      <c r="AD148" s="231"/>
      <c r="AE148" s="231"/>
      <c r="AF148" s="231"/>
      <c r="AG148" s="231"/>
      <c r="AH148" s="231"/>
      <c r="AI148" s="231"/>
      <c r="AJ148" s="231"/>
      <c r="AK148" s="231"/>
      <c r="AL148" s="231"/>
      <c r="AM148" s="232"/>
      <c r="AN148" s="225">
        <v>41141</v>
      </c>
      <c r="AO148" s="233">
        <f t="shared" si="95"/>
        <v>0</v>
      </c>
      <c r="AP148" s="231">
        <f t="shared" si="96"/>
        <v>0</v>
      </c>
      <c r="AQ148" s="231">
        <f t="shared" si="97"/>
        <v>0</v>
      </c>
      <c r="AR148" s="231">
        <f t="shared" si="98"/>
        <v>0</v>
      </c>
      <c r="AS148" s="231">
        <f t="shared" si="99"/>
        <v>0</v>
      </c>
      <c r="AT148" s="231">
        <f t="shared" si="100"/>
        <v>0</v>
      </c>
      <c r="AU148" s="231">
        <f t="shared" si="101"/>
        <v>0</v>
      </c>
      <c r="AV148" s="231">
        <f t="shared" si="102"/>
        <v>0</v>
      </c>
      <c r="AW148" s="231">
        <f t="shared" si="103"/>
        <v>0</v>
      </c>
      <c r="AX148" s="231">
        <f t="shared" si="104"/>
        <v>0</v>
      </c>
      <c r="AY148" s="231">
        <f t="shared" si="105"/>
        <v>0</v>
      </c>
      <c r="AZ148" s="231">
        <f t="shared" si="106"/>
        <v>0</v>
      </c>
      <c r="BA148" s="231">
        <f t="shared" si="107"/>
        <v>0</v>
      </c>
      <c r="BB148" s="231">
        <f t="shared" si="108"/>
        <v>0</v>
      </c>
      <c r="BC148" s="231">
        <f t="shared" si="109"/>
        <v>0</v>
      </c>
      <c r="BD148" s="231">
        <f t="shared" si="110"/>
        <v>0</v>
      </c>
      <c r="BE148" s="232">
        <f t="shared" si="111"/>
        <v>0</v>
      </c>
      <c r="BF148" s="225">
        <v>41141</v>
      </c>
      <c r="BG148" s="234">
        <f t="shared" si="115"/>
        <v>0</v>
      </c>
      <c r="BH148" s="235">
        <f t="shared" si="116"/>
        <v>0</v>
      </c>
      <c r="BI148" s="235">
        <f t="shared" si="117"/>
        <v>0</v>
      </c>
      <c r="BJ148" s="235">
        <f t="shared" si="118"/>
        <v>0</v>
      </c>
      <c r="BK148" s="235">
        <f t="shared" si="119"/>
        <v>0</v>
      </c>
      <c r="BL148" s="235">
        <f t="shared" si="120"/>
        <v>0</v>
      </c>
      <c r="BM148" s="235">
        <f t="shared" si="121"/>
        <v>0</v>
      </c>
      <c r="BN148" s="235">
        <f t="shared" si="122"/>
        <v>0</v>
      </c>
      <c r="BO148" s="235">
        <f t="shared" si="123"/>
        <v>0</v>
      </c>
      <c r="BP148" s="235">
        <f t="shared" si="124"/>
        <v>0</v>
      </c>
      <c r="BQ148" s="235">
        <f t="shared" si="125"/>
        <v>0</v>
      </c>
      <c r="BR148" s="235">
        <f t="shared" si="126"/>
        <v>0</v>
      </c>
      <c r="BS148" s="235">
        <f t="shared" si="127"/>
        <v>0</v>
      </c>
      <c r="BT148" s="235">
        <f t="shared" si="128"/>
        <v>0</v>
      </c>
      <c r="BU148" s="235">
        <f t="shared" si="129"/>
        <v>0</v>
      </c>
      <c r="BV148" s="235">
        <f t="shared" si="130"/>
        <v>0</v>
      </c>
      <c r="BW148" s="236">
        <f t="shared" si="131"/>
        <v>0</v>
      </c>
    </row>
    <row r="149" spans="1:75">
      <c r="A149" s="225">
        <v>41172</v>
      </c>
      <c r="B149" s="237"/>
      <c r="C149" s="230">
        <f t="shared" ref="C149:S149" si="161">ROUND((C66-C67),2)</f>
        <v>0</v>
      </c>
      <c r="D149" s="230">
        <f t="shared" si="161"/>
        <v>0</v>
      </c>
      <c r="E149" s="230">
        <f t="shared" si="161"/>
        <v>0</v>
      </c>
      <c r="F149" s="230">
        <f t="shared" si="161"/>
        <v>0</v>
      </c>
      <c r="G149" s="230">
        <f t="shared" si="161"/>
        <v>0</v>
      </c>
      <c r="H149" s="230">
        <f t="shared" si="161"/>
        <v>0</v>
      </c>
      <c r="I149" s="230">
        <f t="shared" si="161"/>
        <v>0</v>
      </c>
      <c r="J149" s="230">
        <f t="shared" si="161"/>
        <v>0</v>
      </c>
      <c r="K149" s="230">
        <f t="shared" si="161"/>
        <v>0</v>
      </c>
      <c r="L149" s="230">
        <f t="shared" si="161"/>
        <v>0</v>
      </c>
      <c r="M149" s="230">
        <f t="shared" si="161"/>
        <v>0</v>
      </c>
      <c r="N149" s="230">
        <f t="shared" si="161"/>
        <v>0</v>
      </c>
      <c r="O149" s="230">
        <f t="shared" si="161"/>
        <v>0</v>
      </c>
      <c r="P149" s="230">
        <f t="shared" si="161"/>
        <v>0</v>
      </c>
      <c r="Q149" s="230">
        <f t="shared" si="161"/>
        <v>0</v>
      </c>
      <c r="R149" s="230">
        <f t="shared" si="161"/>
        <v>0</v>
      </c>
      <c r="S149" s="230">
        <f t="shared" si="161"/>
        <v>0</v>
      </c>
      <c r="T149" s="209">
        <f t="shared" si="113"/>
        <v>0</v>
      </c>
      <c r="U149" s="225">
        <v>41172</v>
      </c>
      <c r="V149" s="225"/>
      <c r="W149" s="231"/>
      <c r="X149" s="231"/>
      <c r="Y149" s="231"/>
      <c r="Z149" s="231"/>
      <c r="AA149" s="231"/>
      <c r="AB149" s="231"/>
      <c r="AC149" s="231"/>
      <c r="AD149" s="231"/>
      <c r="AE149" s="231"/>
      <c r="AF149" s="231"/>
      <c r="AG149" s="231"/>
      <c r="AH149" s="231"/>
      <c r="AI149" s="231"/>
      <c r="AJ149" s="231"/>
      <c r="AK149" s="231"/>
      <c r="AL149" s="231"/>
      <c r="AM149" s="232"/>
      <c r="AN149" s="225">
        <v>41172</v>
      </c>
      <c r="AO149" s="233">
        <f t="shared" si="95"/>
        <v>0</v>
      </c>
      <c r="AP149" s="231">
        <f t="shared" si="96"/>
        <v>0</v>
      </c>
      <c r="AQ149" s="231">
        <f t="shared" si="97"/>
        <v>0</v>
      </c>
      <c r="AR149" s="231">
        <f t="shared" si="98"/>
        <v>0</v>
      </c>
      <c r="AS149" s="231">
        <f t="shared" si="99"/>
        <v>0</v>
      </c>
      <c r="AT149" s="231">
        <f t="shared" si="100"/>
        <v>0</v>
      </c>
      <c r="AU149" s="231">
        <f t="shared" si="101"/>
        <v>0</v>
      </c>
      <c r="AV149" s="231">
        <f t="shared" si="102"/>
        <v>0</v>
      </c>
      <c r="AW149" s="231">
        <f t="shared" si="103"/>
        <v>0</v>
      </c>
      <c r="AX149" s="231">
        <f t="shared" si="104"/>
        <v>0</v>
      </c>
      <c r="AY149" s="231">
        <f t="shared" si="105"/>
        <v>0</v>
      </c>
      <c r="AZ149" s="231">
        <f t="shared" si="106"/>
        <v>0</v>
      </c>
      <c r="BA149" s="231">
        <f t="shared" si="107"/>
        <v>0</v>
      </c>
      <c r="BB149" s="231">
        <f t="shared" si="108"/>
        <v>0</v>
      </c>
      <c r="BC149" s="231">
        <f t="shared" si="109"/>
        <v>0</v>
      </c>
      <c r="BD149" s="231">
        <f t="shared" si="110"/>
        <v>0</v>
      </c>
      <c r="BE149" s="232">
        <f t="shared" si="111"/>
        <v>0</v>
      </c>
      <c r="BF149" s="225">
        <v>41172</v>
      </c>
      <c r="BG149" s="234">
        <f t="shared" si="115"/>
        <v>0</v>
      </c>
      <c r="BH149" s="235">
        <f t="shared" si="116"/>
        <v>0</v>
      </c>
      <c r="BI149" s="235">
        <f t="shared" si="117"/>
        <v>0</v>
      </c>
      <c r="BJ149" s="235">
        <f t="shared" si="118"/>
        <v>0</v>
      </c>
      <c r="BK149" s="235">
        <f t="shared" si="119"/>
        <v>0</v>
      </c>
      <c r="BL149" s="235">
        <f t="shared" si="120"/>
        <v>0</v>
      </c>
      <c r="BM149" s="235">
        <f t="shared" si="121"/>
        <v>0</v>
      </c>
      <c r="BN149" s="235">
        <f t="shared" si="122"/>
        <v>0</v>
      </c>
      <c r="BO149" s="235">
        <f t="shared" si="123"/>
        <v>0</v>
      </c>
      <c r="BP149" s="235">
        <f t="shared" si="124"/>
        <v>0</v>
      </c>
      <c r="BQ149" s="235">
        <f t="shared" si="125"/>
        <v>0</v>
      </c>
      <c r="BR149" s="235">
        <f t="shared" si="126"/>
        <v>0</v>
      </c>
      <c r="BS149" s="235">
        <f t="shared" si="127"/>
        <v>0</v>
      </c>
      <c r="BT149" s="235">
        <f t="shared" si="128"/>
        <v>0</v>
      </c>
      <c r="BU149" s="235">
        <f t="shared" si="129"/>
        <v>0</v>
      </c>
      <c r="BV149" s="235">
        <f t="shared" si="130"/>
        <v>0</v>
      </c>
      <c r="BW149" s="236">
        <f t="shared" si="131"/>
        <v>0</v>
      </c>
    </row>
    <row r="150" spans="1:75">
      <c r="A150" s="225">
        <v>41202</v>
      </c>
      <c r="B150" s="237"/>
      <c r="C150" s="230">
        <f t="shared" ref="C150:S150" si="162">ROUND((C67-C68),2)</f>
        <v>0</v>
      </c>
      <c r="D150" s="230">
        <f t="shared" si="162"/>
        <v>0</v>
      </c>
      <c r="E150" s="230">
        <f t="shared" si="162"/>
        <v>0</v>
      </c>
      <c r="F150" s="230">
        <f t="shared" si="162"/>
        <v>0</v>
      </c>
      <c r="G150" s="230">
        <f t="shared" si="162"/>
        <v>0</v>
      </c>
      <c r="H150" s="230">
        <f t="shared" si="162"/>
        <v>0</v>
      </c>
      <c r="I150" s="230">
        <f t="shared" si="162"/>
        <v>0</v>
      </c>
      <c r="J150" s="230">
        <f t="shared" si="162"/>
        <v>0</v>
      </c>
      <c r="K150" s="230">
        <f t="shared" si="162"/>
        <v>0</v>
      </c>
      <c r="L150" s="230">
        <f t="shared" si="162"/>
        <v>0</v>
      </c>
      <c r="M150" s="230">
        <f t="shared" si="162"/>
        <v>0</v>
      </c>
      <c r="N150" s="230">
        <f t="shared" si="162"/>
        <v>0</v>
      </c>
      <c r="O150" s="230">
        <f t="shared" si="162"/>
        <v>0</v>
      </c>
      <c r="P150" s="230">
        <f t="shared" si="162"/>
        <v>0</v>
      </c>
      <c r="Q150" s="230">
        <f t="shared" si="162"/>
        <v>0</v>
      </c>
      <c r="R150" s="230">
        <f t="shared" si="162"/>
        <v>0</v>
      </c>
      <c r="S150" s="230">
        <f t="shared" si="162"/>
        <v>0</v>
      </c>
      <c r="T150" s="209">
        <f>SUM(C150:S150)</f>
        <v>0</v>
      </c>
      <c r="U150" s="225">
        <v>41202</v>
      </c>
      <c r="V150" s="225"/>
      <c r="W150" s="231"/>
      <c r="X150" s="231"/>
      <c r="Y150" s="231"/>
      <c r="Z150" s="231"/>
      <c r="AA150" s="231"/>
      <c r="AB150" s="231"/>
      <c r="AC150" s="231"/>
      <c r="AD150" s="231"/>
      <c r="AE150" s="231"/>
      <c r="AF150" s="231"/>
      <c r="AG150" s="231"/>
      <c r="AH150" s="231"/>
      <c r="AI150" s="231"/>
      <c r="AJ150" s="231"/>
      <c r="AK150" s="231"/>
      <c r="AL150" s="231"/>
      <c r="AM150" s="232"/>
      <c r="AN150" s="225">
        <v>41202</v>
      </c>
      <c r="AO150" s="233">
        <f t="shared" si="95"/>
        <v>0</v>
      </c>
      <c r="AP150" s="231">
        <f t="shared" si="96"/>
        <v>0</v>
      </c>
      <c r="AQ150" s="231">
        <f t="shared" si="97"/>
        <v>0</v>
      </c>
      <c r="AR150" s="231">
        <f t="shared" si="98"/>
        <v>0</v>
      </c>
      <c r="AS150" s="231">
        <f t="shared" si="99"/>
        <v>0</v>
      </c>
      <c r="AT150" s="231">
        <f t="shared" si="100"/>
        <v>0</v>
      </c>
      <c r="AU150" s="231">
        <f t="shared" si="101"/>
        <v>0</v>
      </c>
      <c r="AV150" s="231">
        <f t="shared" si="102"/>
        <v>0</v>
      </c>
      <c r="AW150" s="231">
        <f t="shared" si="103"/>
        <v>0</v>
      </c>
      <c r="AX150" s="231">
        <f t="shared" si="104"/>
        <v>0</v>
      </c>
      <c r="AY150" s="231">
        <f t="shared" si="105"/>
        <v>0</v>
      </c>
      <c r="AZ150" s="231">
        <f t="shared" si="106"/>
        <v>0</v>
      </c>
      <c r="BA150" s="231">
        <f t="shared" si="107"/>
        <v>0</v>
      </c>
      <c r="BB150" s="231">
        <f t="shared" si="108"/>
        <v>0</v>
      </c>
      <c r="BC150" s="231">
        <f t="shared" si="109"/>
        <v>0</v>
      </c>
      <c r="BD150" s="231">
        <f t="shared" si="110"/>
        <v>0</v>
      </c>
      <c r="BE150" s="232">
        <f t="shared" si="111"/>
        <v>0</v>
      </c>
      <c r="BF150" s="225">
        <v>41202</v>
      </c>
      <c r="BG150" s="234">
        <f t="shared" si="115"/>
        <v>0</v>
      </c>
      <c r="BH150" s="235">
        <f t="shared" si="116"/>
        <v>0</v>
      </c>
      <c r="BI150" s="235">
        <f t="shared" si="117"/>
        <v>0</v>
      </c>
      <c r="BJ150" s="235">
        <f t="shared" si="118"/>
        <v>0</v>
      </c>
      <c r="BK150" s="235">
        <f t="shared" si="119"/>
        <v>0</v>
      </c>
      <c r="BL150" s="235">
        <f t="shared" si="120"/>
        <v>0</v>
      </c>
      <c r="BM150" s="235">
        <f t="shared" si="121"/>
        <v>0</v>
      </c>
      <c r="BN150" s="235">
        <f t="shared" si="122"/>
        <v>0</v>
      </c>
      <c r="BO150" s="235">
        <f t="shared" si="123"/>
        <v>0</v>
      </c>
      <c r="BP150" s="235">
        <f t="shared" si="124"/>
        <v>0</v>
      </c>
      <c r="BQ150" s="235">
        <f t="shared" si="125"/>
        <v>0</v>
      </c>
      <c r="BR150" s="235">
        <f t="shared" si="126"/>
        <v>0</v>
      </c>
      <c r="BS150" s="235">
        <f t="shared" si="127"/>
        <v>0</v>
      </c>
      <c r="BT150" s="235">
        <f t="shared" si="128"/>
        <v>0</v>
      </c>
      <c r="BU150" s="235">
        <f t="shared" si="129"/>
        <v>0</v>
      </c>
      <c r="BV150" s="235">
        <f t="shared" si="130"/>
        <v>0</v>
      </c>
      <c r="BW150" s="236">
        <f t="shared" si="131"/>
        <v>0</v>
      </c>
    </row>
    <row r="151" spans="1:75">
      <c r="A151" s="225">
        <v>41233</v>
      </c>
      <c r="B151" s="237"/>
      <c r="C151" s="230">
        <f t="shared" ref="C151:S151" si="163">ROUND((C68-C69),2)</f>
        <v>0</v>
      </c>
      <c r="D151" s="230">
        <f t="shared" si="163"/>
        <v>0</v>
      </c>
      <c r="E151" s="230">
        <f t="shared" si="163"/>
        <v>0</v>
      </c>
      <c r="F151" s="230">
        <f t="shared" si="163"/>
        <v>0</v>
      </c>
      <c r="G151" s="230">
        <f t="shared" si="163"/>
        <v>0</v>
      </c>
      <c r="H151" s="230">
        <f t="shared" si="163"/>
        <v>0</v>
      </c>
      <c r="I151" s="230">
        <f t="shared" si="163"/>
        <v>0</v>
      </c>
      <c r="J151" s="230">
        <f t="shared" si="163"/>
        <v>0</v>
      </c>
      <c r="K151" s="230">
        <f t="shared" si="163"/>
        <v>0</v>
      </c>
      <c r="L151" s="230">
        <f t="shared" si="163"/>
        <v>0</v>
      </c>
      <c r="M151" s="230">
        <f t="shared" si="163"/>
        <v>0</v>
      </c>
      <c r="N151" s="230">
        <f t="shared" si="163"/>
        <v>0</v>
      </c>
      <c r="O151" s="230">
        <f t="shared" si="163"/>
        <v>0</v>
      </c>
      <c r="P151" s="230">
        <f t="shared" si="163"/>
        <v>0</v>
      </c>
      <c r="Q151" s="230">
        <f t="shared" si="163"/>
        <v>0</v>
      </c>
      <c r="R151" s="230">
        <f t="shared" si="163"/>
        <v>0</v>
      </c>
      <c r="S151" s="230">
        <f t="shared" si="163"/>
        <v>0</v>
      </c>
      <c r="T151" s="209">
        <f>SUM(C151:S151)</f>
        <v>0</v>
      </c>
      <c r="U151" s="225">
        <v>41233</v>
      </c>
      <c r="V151" s="225"/>
      <c r="W151" s="231"/>
      <c r="X151" s="231"/>
      <c r="Y151" s="231"/>
      <c r="Z151" s="231"/>
      <c r="AA151" s="231"/>
      <c r="AB151" s="231"/>
      <c r="AC151" s="231"/>
      <c r="AD151" s="231"/>
      <c r="AE151" s="231"/>
      <c r="AF151" s="231"/>
      <c r="AG151" s="231"/>
      <c r="AH151" s="231"/>
      <c r="AI151" s="231"/>
      <c r="AJ151" s="231"/>
      <c r="AK151" s="231"/>
      <c r="AL151" s="231"/>
      <c r="AM151" s="232"/>
      <c r="AN151" s="225">
        <v>41233</v>
      </c>
      <c r="AO151" s="233">
        <f t="shared" si="95"/>
        <v>0</v>
      </c>
      <c r="AP151" s="231">
        <f t="shared" si="96"/>
        <v>0</v>
      </c>
      <c r="AQ151" s="231">
        <f t="shared" si="97"/>
        <v>0</v>
      </c>
      <c r="AR151" s="231">
        <f t="shared" si="98"/>
        <v>0</v>
      </c>
      <c r="AS151" s="231">
        <f t="shared" si="99"/>
        <v>0</v>
      </c>
      <c r="AT151" s="231">
        <f t="shared" si="100"/>
        <v>0</v>
      </c>
      <c r="AU151" s="231">
        <f t="shared" si="101"/>
        <v>0</v>
      </c>
      <c r="AV151" s="231">
        <f t="shared" si="102"/>
        <v>0</v>
      </c>
      <c r="AW151" s="231">
        <f t="shared" si="103"/>
        <v>0</v>
      </c>
      <c r="AX151" s="231">
        <f t="shared" si="104"/>
        <v>0</v>
      </c>
      <c r="AY151" s="231">
        <f t="shared" si="105"/>
        <v>0</v>
      </c>
      <c r="AZ151" s="231">
        <f t="shared" si="106"/>
        <v>0</v>
      </c>
      <c r="BA151" s="231">
        <f t="shared" si="107"/>
        <v>0</v>
      </c>
      <c r="BB151" s="231">
        <f t="shared" si="108"/>
        <v>0</v>
      </c>
      <c r="BC151" s="231">
        <f t="shared" si="109"/>
        <v>0</v>
      </c>
      <c r="BD151" s="231">
        <f t="shared" si="110"/>
        <v>0</v>
      </c>
      <c r="BE151" s="232">
        <f t="shared" si="111"/>
        <v>0</v>
      </c>
      <c r="BF151" s="225">
        <v>41233</v>
      </c>
      <c r="BG151" s="234">
        <f t="shared" si="115"/>
        <v>0</v>
      </c>
      <c r="BH151" s="235">
        <f t="shared" si="116"/>
        <v>0</v>
      </c>
      <c r="BI151" s="235">
        <f t="shared" si="117"/>
        <v>0</v>
      </c>
      <c r="BJ151" s="235">
        <f t="shared" si="118"/>
        <v>0</v>
      </c>
      <c r="BK151" s="235">
        <f t="shared" si="119"/>
        <v>0</v>
      </c>
      <c r="BL151" s="235">
        <f t="shared" si="120"/>
        <v>0</v>
      </c>
      <c r="BM151" s="235">
        <f t="shared" si="121"/>
        <v>0</v>
      </c>
      <c r="BN151" s="235">
        <f t="shared" si="122"/>
        <v>0</v>
      </c>
      <c r="BO151" s="235">
        <f t="shared" si="123"/>
        <v>0</v>
      </c>
      <c r="BP151" s="235">
        <f t="shared" si="124"/>
        <v>0</v>
      </c>
      <c r="BQ151" s="235">
        <f t="shared" si="125"/>
        <v>0</v>
      </c>
      <c r="BR151" s="235">
        <f t="shared" si="126"/>
        <v>0</v>
      </c>
      <c r="BS151" s="235">
        <f t="shared" si="127"/>
        <v>0</v>
      </c>
      <c r="BT151" s="235">
        <f t="shared" si="128"/>
        <v>0</v>
      </c>
      <c r="BU151" s="235">
        <f t="shared" si="129"/>
        <v>0</v>
      </c>
      <c r="BV151" s="235">
        <f t="shared" si="130"/>
        <v>0</v>
      </c>
      <c r="BW151" s="236">
        <f t="shared" si="131"/>
        <v>0</v>
      </c>
    </row>
    <row r="152" spans="1:75" ht="13.5" thickBot="1">
      <c r="A152" s="225">
        <v>41263</v>
      </c>
      <c r="B152" s="237"/>
      <c r="C152" s="230">
        <f t="shared" ref="C152:S152" si="164">ROUND((C69-C70),2)</f>
        <v>0</v>
      </c>
      <c r="D152" s="230">
        <f t="shared" si="164"/>
        <v>0</v>
      </c>
      <c r="E152" s="230">
        <f t="shared" si="164"/>
        <v>0</v>
      </c>
      <c r="F152" s="230">
        <f t="shared" si="164"/>
        <v>0</v>
      </c>
      <c r="G152" s="230">
        <f t="shared" si="164"/>
        <v>0</v>
      </c>
      <c r="H152" s="230">
        <f t="shared" si="164"/>
        <v>0</v>
      </c>
      <c r="I152" s="230">
        <f t="shared" si="164"/>
        <v>0</v>
      </c>
      <c r="J152" s="230">
        <f t="shared" si="164"/>
        <v>0</v>
      </c>
      <c r="K152" s="230">
        <f t="shared" si="164"/>
        <v>0</v>
      </c>
      <c r="L152" s="230">
        <f t="shared" si="164"/>
        <v>0</v>
      </c>
      <c r="M152" s="230">
        <f t="shared" si="164"/>
        <v>0</v>
      </c>
      <c r="N152" s="230">
        <f t="shared" si="164"/>
        <v>0</v>
      </c>
      <c r="O152" s="230">
        <f t="shared" si="164"/>
        <v>0</v>
      </c>
      <c r="P152" s="230">
        <f t="shared" si="164"/>
        <v>0</v>
      </c>
      <c r="Q152" s="230">
        <f t="shared" si="164"/>
        <v>0</v>
      </c>
      <c r="R152" s="230">
        <f t="shared" si="164"/>
        <v>0</v>
      </c>
      <c r="S152" s="230">
        <f t="shared" si="164"/>
        <v>0</v>
      </c>
      <c r="T152" s="209">
        <f>SUM(C152:S152)</f>
        <v>0</v>
      </c>
      <c r="U152" s="225">
        <v>41263</v>
      </c>
      <c r="V152" s="238"/>
      <c r="W152" s="239"/>
      <c r="X152" s="239"/>
      <c r="Y152" s="239"/>
      <c r="Z152" s="239"/>
      <c r="AA152" s="239"/>
      <c r="AB152" s="239"/>
      <c r="AC152" s="239"/>
      <c r="AD152" s="239"/>
      <c r="AE152" s="239"/>
      <c r="AF152" s="239"/>
      <c r="AG152" s="239"/>
      <c r="AH152" s="239"/>
      <c r="AI152" s="239"/>
      <c r="AJ152" s="239"/>
      <c r="AK152" s="239"/>
      <c r="AL152" s="239"/>
      <c r="AM152" s="240"/>
      <c r="AN152" s="225">
        <v>41263</v>
      </c>
      <c r="AO152" s="233">
        <f t="shared" si="95"/>
        <v>0</v>
      </c>
      <c r="AP152" s="231">
        <f t="shared" si="96"/>
        <v>0</v>
      </c>
      <c r="AQ152" s="231">
        <f t="shared" si="97"/>
        <v>0</v>
      </c>
      <c r="AR152" s="231">
        <f t="shared" si="98"/>
        <v>0</v>
      </c>
      <c r="AS152" s="231">
        <f t="shared" si="99"/>
        <v>0</v>
      </c>
      <c r="AT152" s="231">
        <f t="shared" si="100"/>
        <v>0</v>
      </c>
      <c r="AU152" s="231">
        <f t="shared" si="101"/>
        <v>0</v>
      </c>
      <c r="AV152" s="231">
        <f t="shared" si="102"/>
        <v>0</v>
      </c>
      <c r="AW152" s="231">
        <f t="shared" si="103"/>
        <v>0</v>
      </c>
      <c r="AX152" s="231">
        <f t="shared" si="104"/>
        <v>0</v>
      </c>
      <c r="AY152" s="231">
        <f t="shared" si="105"/>
        <v>0</v>
      </c>
      <c r="AZ152" s="231">
        <f t="shared" si="106"/>
        <v>0</v>
      </c>
      <c r="BA152" s="231">
        <f t="shared" si="107"/>
        <v>0</v>
      </c>
      <c r="BB152" s="231">
        <f t="shared" si="108"/>
        <v>0</v>
      </c>
      <c r="BC152" s="231">
        <f t="shared" si="109"/>
        <v>0</v>
      </c>
      <c r="BD152" s="231">
        <f t="shared" si="110"/>
        <v>0</v>
      </c>
      <c r="BE152" s="232">
        <f t="shared" si="111"/>
        <v>0</v>
      </c>
      <c r="BF152" s="225">
        <v>41263</v>
      </c>
      <c r="BG152" s="241">
        <f t="shared" si="115"/>
        <v>0</v>
      </c>
      <c r="BH152" s="242">
        <f t="shared" si="116"/>
        <v>0</v>
      </c>
      <c r="BI152" s="242">
        <f t="shared" si="117"/>
        <v>0</v>
      </c>
      <c r="BJ152" s="242">
        <f t="shared" si="118"/>
        <v>0</v>
      </c>
      <c r="BK152" s="242">
        <f t="shared" si="119"/>
        <v>0</v>
      </c>
      <c r="BL152" s="242">
        <f t="shared" si="120"/>
        <v>0</v>
      </c>
      <c r="BM152" s="242">
        <f t="shared" si="121"/>
        <v>0</v>
      </c>
      <c r="BN152" s="242">
        <f t="shared" si="122"/>
        <v>0</v>
      </c>
      <c r="BO152" s="242">
        <f t="shared" si="123"/>
        <v>0</v>
      </c>
      <c r="BP152" s="242">
        <f t="shared" si="124"/>
        <v>0</v>
      </c>
      <c r="BQ152" s="242">
        <f t="shared" si="125"/>
        <v>0</v>
      </c>
      <c r="BR152" s="242">
        <f t="shared" si="126"/>
        <v>0</v>
      </c>
      <c r="BS152" s="242">
        <f t="shared" si="127"/>
        <v>0</v>
      </c>
      <c r="BT152" s="242">
        <f t="shared" si="128"/>
        <v>0</v>
      </c>
      <c r="BU152" s="242">
        <f t="shared" si="129"/>
        <v>0</v>
      </c>
      <c r="BV152" s="242">
        <f t="shared" si="130"/>
        <v>0</v>
      </c>
      <c r="BW152" s="243">
        <f t="shared" si="131"/>
        <v>0</v>
      </c>
    </row>
    <row r="153" spans="1:75">
      <c r="A153" s="205">
        <v>41294</v>
      </c>
      <c r="B153" s="237"/>
      <c r="C153" s="230">
        <f t="shared" ref="C153:S153" si="165">ROUND((C70-C71),2)</f>
        <v>0</v>
      </c>
      <c r="D153" s="230">
        <f t="shared" si="165"/>
        <v>0</v>
      </c>
      <c r="E153" s="230">
        <f t="shared" si="165"/>
        <v>0</v>
      </c>
      <c r="F153" s="230">
        <f t="shared" si="165"/>
        <v>0</v>
      </c>
      <c r="G153" s="230">
        <f t="shared" si="165"/>
        <v>0</v>
      </c>
      <c r="H153" s="230">
        <f t="shared" si="165"/>
        <v>0</v>
      </c>
      <c r="I153" s="230">
        <f t="shared" si="165"/>
        <v>0</v>
      </c>
      <c r="J153" s="230">
        <f t="shared" si="165"/>
        <v>0</v>
      </c>
      <c r="K153" s="230">
        <f t="shared" si="165"/>
        <v>0</v>
      </c>
      <c r="L153" s="230">
        <f t="shared" si="165"/>
        <v>0</v>
      </c>
      <c r="M153" s="230">
        <f t="shared" si="165"/>
        <v>0</v>
      </c>
      <c r="N153" s="230">
        <f t="shared" si="165"/>
        <v>0</v>
      </c>
      <c r="O153" s="230">
        <f t="shared" si="165"/>
        <v>0</v>
      </c>
      <c r="P153" s="230">
        <f t="shared" si="165"/>
        <v>0</v>
      </c>
      <c r="Q153" s="230">
        <f t="shared" si="165"/>
        <v>0</v>
      </c>
      <c r="R153" s="230">
        <f t="shared" si="165"/>
        <v>0</v>
      </c>
      <c r="S153" s="230">
        <f t="shared" si="165"/>
        <v>0</v>
      </c>
      <c r="T153" s="209">
        <f t="shared" ref="T153:T164" si="166">SUM(C153:S153)</f>
        <v>0</v>
      </c>
      <c r="U153" s="205">
        <v>41294</v>
      </c>
      <c r="V153" s="213"/>
      <c r="W153" s="231"/>
      <c r="X153" s="231"/>
      <c r="Y153" s="231"/>
      <c r="Z153" s="231"/>
      <c r="AA153" s="231"/>
      <c r="AB153" s="231"/>
      <c r="AC153" s="231"/>
      <c r="AD153" s="231"/>
      <c r="AE153" s="231"/>
      <c r="AF153" s="231"/>
      <c r="AG153" s="231"/>
      <c r="AH153" s="231"/>
      <c r="AI153" s="231"/>
      <c r="AJ153" s="231"/>
      <c r="AK153" s="231"/>
      <c r="AL153" s="231"/>
      <c r="AM153" s="231"/>
      <c r="AN153" s="205">
        <v>41294</v>
      </c>
      <c r="AO153" s="233"/>
      <c r="AP153" s="231"/>
      <c r="AQ153" s="231"/>
      <c r="AR153" s="231"/>
      <c r="AS153" s="231"/>
      <c r="AT153" s="231"/>
      <c r="AU153" s="231"/>
      <c r="AV153" s="231"/>
      <c r="AW153" s="231"/>
      <c r="AX153" s="231"/>
      <c r="AY153" s="231"/>
      <c r="AZ153" s="231"/>
      <c r="BA153" s="231"/>
      <c r="BB153" s="231"/>
      <c r="BC153" s="231"/>
      <c r="BD153" s="231"/>
      <c r="BE153" s="232"/>
      <c r="BF153" s="205">
        <v>41294</v>
      </c>
      <c r="BG153" s="235"/>
      <c r="BH153" s="235"/>
      <c r="BI153" s="235"/>
      <c r="BJ153" s="235"/>
      <c r="BK153" s="235"/>
      <c r="BL153" s="235"/>
      <c r="BM153" s="235"/>
      <c r="BN153" s="235"/>
      <c r="BO153" s="235"/>
      <c r="BP153" s="235"/>
      <c r="BQ153" s="235"/>
      <c r="BR153" s="235"/>
      <c r="BS153" s="235"/>
      <c r="BT153" s="235"/>
      <c r="BU153" s="235"/>
      <c r="BV153" s="235"/>
      <c r="BW153" s="235"/>
    </row>
    <row r="154" spans="1:75">
      <c r="A154" s="205">
        <v>41325</v>
      </c>
      <c r="B154" s="237"/>
      <c r="C154" s="230">
        <f t="shared" ref="C154:S154" si="167">ROUND((C71-C72),2)</f>
        <v>0</v>
      </c>
      <c r="D154" s="230">
        <f t="shared" si="167"/>
        <v>0</v>
      </c>
      <c r="E154" s="230">
        <f t="shared" si="167"/>
        <v>0</v>
      </c>
      <c r="F154" s="230">
        <f t="shared" si="167"/>
        <v>0</v>
      </c>
      <c r="G154" s="230">
        <f t="shared" si="167"/>
        <v>0</v>
      </c>
      <c r="H154" s="230">
        <f t="shared" si="167"/>
        <v>0</v>
      </c>
      <c r="I154" s="230">
        <f t="shared" si="167"/>
        <v>0</v>
      </c>
      <c r="J154" s="230">
        <f t="shared" si="167"/>
        <v>0</v>
      </c>
      <c r="K154" s="230">
        <f t="shared" si="167"/>
        <v>0</v>
      </c>
      <c r="L154" s="230">
        <f t="shared" si="167"/>
        <v>0</v>
      </c>
      <c r="M154" s="230">
        <f t="shared" si="167"/>
        <v>0</v>
      </c>
      <c r="N154" s="230">
        <f t="shared" si="167"/>
        <v>0</v>
      </c>
      <c r="O154" s="230">
        <f t="shared" si="167"/>
        <v>0</v>
      </c>
      <c r="P154" s="230">
        <f t="shared" si="167"/>
        <v>0</v>
      </c>
      <c r="Q154" s="230">
        <f t="shared" si="167"/>
        <v>0</v>
      </c>
      <c r="R154" s="230">
        <f t="shared" si="167"/>
        <v>0</v>
      </c>
      <c r="S154" s="230">
        <f t="shared" si="167"/>
        <v>0</v>
      </c>
      <c r="T154" s="209">
        <f t="shared" si="166"/>
        <v>0</v>
      </c>
      <c r="U154" s="205">
        <v>41325</v>
      </c>
      <c r="V154" s="213"/>
      <c r="W154" s="231"/>
      <c r="X154" s="231"/>
      <c r="Y154" s="231"/>
      <c r="Z154" s="231"/>
      <c r="AA154" s="231"/>
      <c r="AB154" s="231"/>
      <c r="AC154" s="231"/>
      <c r="AD154" s="231"/>
      <c r="AE154" s="231"/>
      <c r="AF154" s="231"/>
      <c r="AG154" s="231"/>
      <c r="AH154" s="231"/>
      <c r="AI154" s="231"/>
      <c r="AJ154" s="231"/>
      <c r="AK154" s="231"/>
      <c r="AL154" s="231"/>
      <c r="AM154" s="231"/>
      <c r="AN154" s="205">
        <v>41325</v>
      </c>
      <c r="AO154" s="233"/>
      <c r="AP154" s="231"/>
      <c r="AQ154" s="231"/>
      <c r="AR154" s="231"/>
      <c r="AS154" s="231"/>
      <c r="AT154" s="231"/>
      <c r="AU154" s="231"/>
      <c r="AV154" s="231"/>
      <c r="AW154" s="231"/>
      <c r="AX154" s="231"/>
      <c r="AY154" s="231"/>
      <c r="AZ154" s="231"/>
      <c r="BA154" s="231"/>
      <c r="BB154" s="231"/>
      <c r="BC154" s="231"/>
      <c r="BD154" s="231"/>
      <c r="BE154" s="232"/>
      <c r="BF154" s="205">
        <v>41325</v>
      </c>
      <c r="BG154" s="235"/>
      <c r="BH154" s="235"/>
      <c r="BI154" s="235"/>
      <c r="BJ154" s="235"/>
      <c r="BK154" s="235"/>
      <c r="BL154" s="235"/>
      <c r="BM154" s="235"/>
      <c r="BN154" s="235"/>
      <c r="BO154" s="235"/>
      <c r="BP154" s="235"/>
      <c r="BQ154" s="235"/>
      <c r="BR154" s="235"/>
      <c r="BS154" s="235"/>
      <c r="BT154" s="235"/>
      <c r="BU154" s="235"/>
      <c r="BV154" s="235"/>
      <c r="BW154" s="235"/>
    </row>
    <row r="155" spans="1:75">
      <c r="A155" s="205">
        <v>41353</v>
      </c>
      <c r="B155" s="237"/>
      <c r="C155" s="230">
        <f t="shared" ref="C155:S155" si="168">ROUND((C72-C73),2)</f>
        <v>0</v>
      </c>
      <c r="D155" s="230">
        <f t="shared" si="168"/>
        <v>0</v>
      </c>
      <c r="E155" s="230">
        <f t="shared" si="168"/>
        <v>0</v>
      </c>
      <c r="F155" s="230">
        <f t="shared" si="168"/>
        <v>0</v>
      </c>
      <c r="G155" s="230">
        <f t="shared" si="168"/>
        <v>0</v>
      </c>
      <c r="H155" s="230">
        <f t="shared" si="168"/>
        <v>0</v>
      </c>
      <c r="I155" s="230">
        <f t="shared" si="168"/>
        <v>0</v>
      </c>
      <c r="J155" s="230">
        <f t="shared" si="168"/>
        <v>0</v>
      </c>
      <c r="K155" s="230">
        <f t="shared" si="168"/>
        <v>0</v>
      </c>
      <c r="L155" s="230">
        <f t="shared" si="168"/>
        <v>0</v>
      </c>
      <c r="M155" s="230">
        <f t="shared" si="168"/>
        <v>0</v>
      </c>
      <c r="N155" s="230">
        <f t="shared" si="168"/>
        <v>0</v>
      </c>
      <c r="O155" s="230">
        <f t="shared" si="168"/>
        <v>0</v>
      </c>
      <c r="P155" s="230">
        <f t="shared" si="168"/>
        <v>0</v>
      </c>
      <c r="Q155" s="230">
        <f t="shared" si="168"/>
        <v>0</v>
      </c>
      <c r="R155" s="230">
        <f t="shared" si="168"/>
        <v>0</v>
      </c>
      <c r="S155" s="230">
        <f t="shared" si="168"/>
        <v>0</v>
      </c>
      <c r="T155" s="209">
        <f t="shared" si="166"/>
        <v>0</v>
      </c>
      <c r="U155" s="205">
        <v>41353</v>
      </c>
      <c r="V155" s="213"/>
      <c r="W155" s="231"/>
      <c r="X155" s="231"/>
      <c r="Y155" s="231"/>
      <c r="Z155" s="231"/>
      <c r="AA155" s="231"/>
      <c r="AB155" s="231"/>
      <c r="AC155" s="231"/>
      <c r="AD155" s="231"/>
      <c r="AE155" s="231"/>
      <c r="AF155" s="231"/>
      <c r="AG155" s="231"/>
      <c r="AH155" s="231"/>
      <c r="AI155" s="231"/>
      <c r="AJ155" s="231"/>
      <c r="AK155" s="231"/>
      <c r="AL155" s="231"/>
      <c r="AM155" s="231"/>
      <c r="AN155" s="205">
        <v>41353</v>
      </c>
      <c r="AO155" s="233"/>
      <c r="AP155" s="231"/>
      <c r="AQ155" s="231"/>
      <c r="AR155" s="231"/>
      <c r="AS155" s="231"/>
      <c r="AT155" s="231"/>
      <c r="AU155" s="231"/>
      <c r="AV155" s="231"/>
      <c r="AW155" s="231"/>
      <c r="AX155" s="231"/>
      <c r="AY155" s="231"/>
      <c r="AZ155" s="231"/>
      <c r="BA155" s="231"/>
      <c r="BB155" s="231"/>
      <c r="BC155" s="231"/>
      <c r="BD155" s="231"/>
      <c r="BE155" s="232"/>
      <c r="BF155" s="205">
        <v>41353</v>
      </c>
      <c r="BG155" s="235"/>
      <c r="BH155" s="235"/>
      <c r="BI155" s="235"/>
      <c r="BJ155" s="235"/>
      <c r="BK155" s="235"/>
      <c r="BL155" s="235"/>
      <c r="BM155" s="235"/>
      <c r="BN155" s="235"/>
      <c r="BO155" s="235"/>
      <c r="BP155" s="235"/>
      <c r="BQ155" s="235"/>
      <c r="BR155" s="235"/>
      <c r="BS155" s="235"/>
      <c r="BT155" s="235"/>
      <c r="BU155" s="235"/>
      <c r="BV155" s="235"/>
      <c r="BW155" s="235"/>
    </row>
    <row r="156" spans="1:75">
      <c r="A156" s="205">
        <v>41384</v>
      </c>
      <c r="B156" s="237"/>
      <c r="C156" s="230">
        <f t="shared" ref="C156:S156" si="169">ROUND((C73-C74),2)</f>
        <v>0</v>
      </c>
      <c r="D156" s="230">
        <f t="shared" si="169"/>
        <v>0</v>
      </c>
      <c r="E156" s="230">
        <f t="shared" si="169"/>
        <v>0</v>
      </c>
      <c r="F156" s="230">
        <f t="shared" si="169"/>
        <v>0</v>
      </c>
      <c r="G156" s="230">
        <f t="shared" si="169"/>
        <v>0</v>
      </c>
      <c r="H156" s="230">
        <f t="shared" si="169"/>
        <v>0</v>
      </c>
      <c r="I156" s="230">
        <f t="shared" si="169"/>
        <v>0</v>
      </c>
      <c r="J156" s="230">
        <f t="shared" si="169"/>
        <v>0</v>
      </c>
      <c r="K156" s="230">
        <f t="shared" si="169"/>
        <v>0</v>
      </c>
      <c r="L156" s="230">
        <f t="shared" si="169"/>
        <v>0</v>
      </c>
      <c r="M156" s="230">
        <f t="shared" si="169"/>
        <v>0</v>
      </c>
      <c r="N156" s="230">
        <f t="shared" si="169"/>
        <v>0</v>
      </c>
      <c r="O156" s="230">
        <f t="shared" si="169"/>
        <v>0</v>
      </c>
      <c r="P156" s="230">
        <f t="shared" si="169"/>
        <v>0</v>
      </c>
      <c r="Q156" s="230">
        <f t="shared" si="169"/>
        <v>0</v>
      </c>
      <c r="R156" s="230">
        <f t="shared" si="169"/>
        <v>0</v>
      </c>
      <c r="S156" s="230">
        <f t="shared" si="169"/>
        <v>0</v>
      </c>
      <c r="T156" s="209">
        <f t="shared" si="166"/>
        <v>0</v>
      </c>
      <c r="U156" s="205">
        <v>41384</v>
      </c>
      <c r="V156" s="213"/>
      <c r="W156" s="231"/>
      <c r="X156" s="231"/>
      <c r="Y156" s="231"/>
      <c r="Z156" s="231"/>
      <c r="AA156" s="231"/>
      <c r="AB156" s="231"/>
      <c r="AC156" s="231"/>
      <c r="AD156" s="231"/>
      <c r="AE156" s="231"/>
      <c r="AF156" s="231"/>
      <c r="AG156" s="231"/>
      <c r="AH156" s="231"/>
      <c r="AI156" s="231"/>
      <c r="AJ156" s="231"/>
      <c r="AK156" s="231"/>
      <c r="AL156" s="231"/>
      <c r="AM156" s="231"/>
      <c r="AN156" s="205">
        <v>41384</v>
      </c>
      <c r="AO156" s="233"/>
      <c r="AP156" s="231"/>
      <c r="AQ156" s="231"/>
      <c r="AR156" s="231"/>
      <c r="AS156" s="231"/>
      <c r="AT156" s="231"/>
      <c r="AU156" s="231"/>
      <c r="AV156" s="231"/>
      <c r="AW156" s="231"/>
      <c r="AX156" s="231"/>
      <c r="AY156" s="231"/>
      <c r="AZ156" s="231"/>
      <c r="BA156" s="231"/>
      <c r="BB156" s="231"/>
      <c r="BC156" s="231"/>
      <c r="BD156" s="231"/>
      <c r="BE156" s="232"/>
      <c r="BF156" s="205">
        <v>41384</v>
      </c>
      <c r="BG156" s="235"/>
      <c r="BH156" s="235"/>
      <c r="BI156" s="235"/>
      <c r="BJ156" s="235"/>
      <c r="BK156" s="235"/>
      <c r="BL156" s="235"/>
      <c r="BM156" s="235"/>
      <c r="BN156" s="235"/>
      <c r="BO156" s="235"/>
      <c r="BP156" s="235"/>
      <c r="BQ156" s="235"/>
      <c r="BR156" s="235"/>
      <c r="BS156" s="235"/>
      <c r="BT156" s="235"/>
      <c r="BU156" s="235"/>
      <c r="BV156" s="235"/>
      <c r="BW156" s="235"/>
    </row>
    <row r="157" spans="1:75">
      <c r="A157" s="213">
        <v>41414</v>
      </c>
      <c r="B157" s="237"/>
      <c r="C157" s="230">
        <f t="shared" ref="C157:S157" si="170">ROUND((C74-C75),2)</f>
        <v>0</v>
      </c>
      <c r="D157" s="230">
        <f t="shared" si="170"/>
        <v>0</v>
      </c>
      <c r="E157" s="230">
        <f t="shared" si="170"/>
        <v>0</v>
      </c>
      <c r="F157" s="230">
        <f t="shared" si="170"/>
        <v>0</v>
      </c>
      <c r="G157" s="230">
        <f t="shared" si="170"/>
        <v>0</v>
      </c>
      <c r="H157" s="230">
        <f t="shared" si="170"/>
        <v>0</v>
      </c>
      <c r="I157" s="230">
        <f t="shared" si="170"/>
        <v>0</v>
      </c>
      <c r="J157" s="230">
        <f t="shared" si="170"/>
        <v>0</v>
      </c>
      <c r="K157" s="230">
        <f t="shared" si="170"/>
        <v>0</v>
      </c>
      <c r="L157" s="230">
        <f t="shared" si="170"/>
        <v>0</v>
      </c>
      <c r="M157" s="230">
        <f t="shared" si="170"/>
        <v>0</v>
      </c>
      <c r="N157" s="230">
        <f t="shared" si="170"/>
        <v>0</v>
      </c>
      <c r="O157" s="230">
        <f t="shared" si="170"/>
        <v>0</v>
      </c>
      <c r="P157" s="230">
        <f t="shared" si="170"/>
        <v>0</v>
      </c>
      <c r="Q157" s="230">
        <f t="shared" si="170"/>
        <v>0</v>
      </c>
      <c r="R157" s="230">
        <f t="shared" si="170"/>
        <v>0</v>
      </c>
      <c r="S157" s="230">
        <f t="shared" si="170"/>
        <v>0</v>
      </c>
      <c r="T157" s="209">
        <f t="shared" si="166"/>
        <v>0</v>
      </c>
      <c r="U157" s="213">
        <v>41414</v>
      </c>
      <c r="V157" s="213"/>
      <c r="W157" s="231"/>
      <c r="X157" s="231"/>
      <c r="Y157" s="231"/>
      <c r="Z157" s="231"/>
      <c r="AA157" s="231"/>
      <c r="AB157" s="231"/>
      <c r="AC157" s="231"/>
      <c r="AD157" s="231"/>
      <c r="AE157" s="231"/>
      <c r="AF157" s="231"/>
      <c r="AG157" s="231"/>
      <c r="AH157" s="231"/>
      <c r="AI157" s="231"/>
      <c r="AJ157" s="231"/>
      <c r="AK157" s="231"/>
      <c r="AL157" s="231"/>
      <c r="AM157" s="231"/>
      <c r="AN157" s="213">
        <v>41415</v>
      </c>
      <c r="AO157" s="233"/>
      <c r="AP157" s="231"/>
      <c r="AQ157" s="231"/>
      <c r="AR157" s="231"/>
      <c r="AS157" s="231"/>
      <c r="AT157" s="231"/>
      <c r="AU157" s="231"/>
      <c r="AV157" s="231"/>
      <c r="AW157" s="231"/>
      <c r="AX157" s="231"/>
      <c r="AY157" s="231"/>
      <c r="AZ157" s="231"/>
      <c r="BA157" s="231"/>
      <c r="BB157" s="231"/>
      <c r="BC157" s="231"/>
      <c r="BD157" s="231"/>
      <c r="BE157" s="232"/>
      <c r="BF157" s="213">
        <v>41415</v>
      </c>
      <c r="BG157" s="235"/>
      <c r="BH157" s="235"/>
      <c r="BI157" s="235"/>
      <c r="BJ157" s="235"/>
      <c r="BK157" s="235"/>
      <c r="BL157" s="235"/>
      <c r="BM157" s="235"/>
      <c r="BN157" s="235"/>
      <c r="BO157" s="235"/>
      <c r="BP157" s="235"/>
      <c r="BQ157" s="235"/>
      <c r="BR157" s="235"/>
      <c r="BS157" s="235"/>
      <c r="BT157" s="235"/>
      <c r="BU157" s="235"/>
      <c r="BV157" s="235"/>
      <c r="BW157" s="235"/>
    </row>
    <row r="158" spans="1:75">
      <c r="A158" s="205">
        <v>41445</v>
      </c>
      <c r="B158" s="237"/>
      <c r="C158" s="230">
        <f t="shared" ref="C158:S158" si="171">ROUND((C75-C76),2)</f>
        <v>0</v>
      </c>
      <c r="D158" s="230">
        <f t="shared" si="171"/>
        <v>0</v>
      </c>
      <c r="E158" s="230">
        <f t="shared" si="171"/>
        <v>0</v>
      </c>
      <c r="F158" s="230">
        <f t="shared" si="171"/>
        <v>0</v>
      </c>
      <c r="G158" s="230">
        <f t="shared" si="171"/>
        <v>0</v>
      </c>
      <c r="H158" s="230">
        <f t="shared" si="171"/>
        <v>0</v>
      </c>
      <c r="I158" s="230">
        <f t="shared" si="171"/>
        <v>0</v>
      </c>
      <c r="J158" s="230">
        <f t="shared" si="171"/>
        <v>0</v>
      </c>
      <c r="K158" s="230">
        <f t="shared" si="171"/>
        <v>0</v>
      </c>
      <c r="L158" s="230">
        <f t="shared" si="171"/>
        <v>0</v>
      </c>
      <c r="M158" s="230">
        <f t="shared" si="171"/>
        <v>0</v>
      </c>
      <c r="N158" s="230">
        <f t="shared" si="171"/>
        <v>0</v>
      </c>
      <c r="O158" s="230">
        <f t="shared" si="171"/>
        <v>0</v>
      </c>
      <c r="P158" s="230">
        <f t="shared" si="171"/>
        <v>0</v>
      </c>
      <c r="Q158" s="230">
        <f t="shared" si="171"/>
        <v>0</v>
      </c>
      <c r="R158" s="230">
        <f t="shared" si="171"/>
        <v>0</v>
      </c>
      <c r="S158" s="230">
        <f t="shared" si="171"/>
        <v>0</v>
      </c>
      <c r="T158" s="209">
        <f t="shared" si="166"/>
        <v>0</v>
      </c>
      <c r="U158" s="205">
        <v>41445</v>
      </c>
      <c r="V158" s="213"/>
      <c r="W158" s="231"/>
      <c r="X158" s="231"/>
      <c r="Y158" s="231"/>
      <c r="Z158" s="231"/>
      <c r="AA158" s="231"/>
      <c r="AB158" s="231"/>
      <c r="AC158" s="231"/>
      <c r="AD158" s="231"/>
      <c r="AE158" s="231"/>
      <c r="AF158" s="231"/>
      <c r="AG158" s="231"/>
      <c r="AH158" s="231"/>
      <c r="AI158" s="231"/>
      <c r="AJ158" s="231"/>
      <c r="AK158" s="231"/>
      <c r="AL158" s="231"/>
      <c r="AM158" s="231"/>
      <c r="AN158" s="205">
        <v>41445</v>
      </c>
      <c r="AO158" s="233"/>
      <c r="AP158" s="231"/>
      <c r="AQ158" s="231"/>
      <c r="AR158" s="231"/>
      <c r="AS158" s="231"/>
      <c r="AT158" s="231"/>
      <c r="AU158" s="231"/>
      <c r="AV158" s="231"/>
      <c r="AW158" s="231"/>
      <c r="AX158" s="231"/>
      <c r="AY158" s="231"/>
      <c r="AZ158" s="231"/>
      <c r="BA158" s="231"/>
      <c r="BB158" s="231"/>
      <c r="BC158" s="231"/>
      <c r="BD158" s="231"/>
      <c r="BE158" s="232"/>
      <c r="BF158" s="205">
        <v>41445</v>
      </c>
      <c r="BG158" s="235"/>
      <c r="BH158" s="235"/>
      <c r="BI158" s="235"/>
      <c r="BJ158" s="235"/>
      <c r="BK158" s="235"/>
      <c r="BL158" s="235"/>
      <c r="BM158" s="235"/>
      <c r="BN158" s="235"/>
      <c r="BO158" s="235"/>
      <c r="BP158" s="235"/>
      <c r="BQ158" s="235"/>
      <c r="BR158" s="235"/>
      <c r="BS158" s="235"/>
      <c r="BT158" s="235"/>
      <c r="BU158" s="235"/>
      <c r="BV158" s="235"/>
      <c r="BW158" s="235"/>
    </row>
    <row r="159" spans="1:75">
      <c r="A159" s="205">
        <v>41475</v>
      </c>
      <c r="B159" s="237"/>
      <c r="C159" s="230">
        <f t="shared" ref="C159:S159" si="172">ROUND((C76-C77),2)</f>
        <v>0</v>
      </c>
      <c r="D159" s="230">
        <f t="shared" si="172"/>
        <v>0</v>
      </c>
      <c r="E159" s="230">
        <f t="shared" si="172"/>
        <v>0</v>
      </c>
      <c r="F159" s="230">
        <f t="shared" si="172"/>
        <v>0</v>
      </c>
      <c r="G159" s="230">
        <f t="shared" si="172"/>
        <v>0</v>
      </c>
      <c r="H159" s="230">
        <f t="shared" si="172"/>
        <v>0</v>
      </c>
      <c r="I159" s="230">
        <f t="shared" si="172"/>
        <v>0</v>
      </c>
      <c r="J159" s="230">
        <f t="shared" si="172"/>
        <v>0</v>
      </c>
      <c r="K159" s="230">
        <f t="shared" si="172"/>
        <v>0</v>
      </c>
      <c r="L159" s="230">
        <f t="shared" si="172"/>
        <v>0</v>
      </c>
      <c r="M159" s="230">
        <f t="shared" si="172"/>
        <v>0</v>
      </c>
      <c r="N159" s="230">
        <f t="shared" si="172"/>
        <v>0</v>
      </c>
      <c r="O159" s="230">
        <f t="shared" si="172"/>
        <v>0</v>
      </c>
      <c r="P159" s="230">
        <f t="shared" si="172"/>
        <v>0</v>
      </c>
      <c r="Q159" s="230">
        <f t="shared" si="172"/>
        <v>0</v>
      </c>
      <c r="R159" s="230">
        <f t="shared" si="172"/>
        <v>0</v>
      </c>
      <c r="S159" s="230">
        <f t="shared" si="172"/>
        <v>0</v>
      </c>
      <c r="T159" s="209">
        <f t="shared" si="166"/>
        <v>0</v>
      </c>
      <c r="U159" s="205">
        <v>41475</v>
      </c>
      <c r="V159" s="213"/>
      <c r="W159" s="231"/>
      <c r="X159" s="231"/>
      <c r="Y159" s="231"/>
      <c r="Z159" s="231"/>
      <c r="AA159" s="231"/>
      <c r="AB159" s="231"/>
      <c r="AC159" s="231"/>
      <c r="AD159" s="231"/>
      <c r="AE159" s="231"/>
      <c r="AF159" s="231"/>
      <c r="AG159" s="231"/>
      <c r="AH159" s="231"/>
      <c r="AI159" s="231"/>
      <c r="AJ159" s="231"/>
      <c r="AK159" s="231"/>
      <c r="AL159" s="231"/>
      <c r="AM159" s="231"/>
      <c r="AN159" s="205">
        <v>41475</v>
      </c>
      <c r="AO159" s="233"/>
      <c r="AP159" s="231"/>
      <c r="AQ159" s="231"/>
      <c r="AR159" s="231"/>
      <c r="AS159" s="231"/>
      <c r="AT159" s="231"/>
      <c r="AU159" s="231"/>
      <c r="AV159" s="231"/>
      <c r="AW159" s="231"/>
      <c r="AX159" s="231"/>
      <c r="AY159" s="231"/>
      <c r="AZ159" s="231"/>
      <c r="BA159" s="231"/>
      <c r="BB159" s="231"/>
      <c r="BC159" s="231"/>
      <c r="BD159" s="231"/>
      <c r="BE159" s="232"/>
      <c r="BF159" s="205">
        <v>41475</v>
      </c>
      <c r="BG159" s="235"/>
      <c r="BH159" s="235"/>
      <c r="BI159" s="235"/>
      <c r="BJ159" s="235"/>
      <c r="BK159" s="235"/>
      <c r="BL159" s="235"/>
      <c r="BM159" s="235"/>
      <c r="BN159" s="235"/>
      <c r="BO159" s="235"/>
      <c r="BP159" s="235"/>
      <c r="BQ159" s="235"/>
      <c r="BR159" s="235"/>
      <c r="BS159" s="235"/>
      <c r="BT159" s="235"/>
      <c r="BU159" s="235"/>
      <c r="BV159" s="235"/>
      <c r="BW159" s="235"/>
    </row>
    <row r="160" spans="1:75">
      <c r="A160" s="205">
        <v>41506</v>
      </c>
      <c r="B160" s="237"/>
      <c r="C160" s="230">
        <f t="shared" ref="C160:S160" si="173">ROUND((C77-C78),2)</f>
        <v>0</v>
      </c>
      <c r="D160" s="230">
        <f t="shared" si="173"/>
        <v>0</v>
      </c>
      <c r="E160" s="230">
        <f t="shared" si="173"/>
        <v>0</v>
      </c>
      <c r="F160" s="230">
        <f t="shared" si="173"/>
        <v>0</v>
      </c>
      <c r="G160" s="230">
        <f t="shared" si="173"/>
        <v>0</v>
      </c>
      <c r="H160" s="230">
        <f t="shared" si="173"/>
        <v>0</v>
      </c>
      <c r="I160" s="230">
        <f t="shared" si="173"/>
        <v>0</v>
      </c>
      <c r="J160" s="230">
        <f t="shared" si="173"/>
        <v>0</v>
      </c>
      <c r="K160" s="230">
        <f t="shared" si="173"/>
        <v>0</v>
      </c>
      <c r="L160" s="230">
        <f t="shared" si="173"/>
        <v>0</v>
      </c>
      <c r="M160" s="230">
        <f t="shared" si="173"/>
        <v>0</v>
      </c>
      <c r="N160" s="230">
        <f t="shared" si="173"/>
        <v>0</v>
      </c>
      <c r="O160" s="230">
        <f t="shared" si="173"/>
        <v>0</v>
      </c>
      <c r="P160" s="230">
        <f t="shared" si="173"/>
        <v>0</v>
      </c>
      <c r="Q160" s="230">
        <f t="shared" si="173"/>
        <v>0</v>
      </c>
      <c r="R160" s="230">
        <f t="shared" si="173"/>
        <v>0</v>
      </c>
      <c r="S160" s="230">
        <f t="shared" si="173"/>
        <v>0</v>
      </c>
      <c r="T160" s="209">
        <f t="shared" si="166"/>
        <v>0</v>
      </c>
      <c r="U160" s="205">
        <v>41506</v>
      </c>
      <c r="V160" s="213"/>
      <c r="W160" s="231"/>
      <c r="X160" s="231"/>
      <c r="Y160" s="231"/>
      <c r="Z160" s="231"/>
      <c r="AA160" s="231"/>
      <c r="AB160" s="231"/>
      <c r="AC160" s="231"/>
      <c r="AD160" s="231"/>
      <c r="AE160" s="231"/>
      <c r="AF160" s="231"/>
      <c r="AG160" s="231"/>
      <c r="AH160" s="231"/>
      <c r="AI160" s="231"/>
      <c r="AJ160" s="231"/>
      <c r="AK160" s="231"/>
      <c r="AL160" s="231"/>
      <c r="AM160" s="231"/>
      <c r="AN160" s="205">
        <v>41506</v>
      </c>
      <c r="AO160" s="233"/>
      <c r="AP160" s="231"/>
      <c r="AQ160" s="231"/>
      <c r="AR160" s="231"/>
      <c r="AS160" s="231"/>
      <c r="AT160" s="231"/>
      <c r="AU160" s="231"/>
      <c r="AV160" s="231"/>
      <c r="AW160" s="231"/>
      <c r="AX160" s="231"/>
      <c r="AY160" s="231"/>
      <c r="AZ160" s="231"/>
      <c r="BA160" s="231"/>
      <c r="BB160" s="231"/>
      <c r="BC160" s="231"/>
      <c r="BD160" s="231"/>
      <c r="BE160" s="232"/>
      <c r="BF160" s="205">
        <v>41506</v>
      </c>
      <c r="BG160" s="235"/>
      <c r="BH160" s="235"/>
      <c r="BI160" s="235"/>
      <c r="BJ160" s="235"/>
      <c r="BK160" s="235"/>
      <c r="BL160" s="235"/>
      <c r="BM160" s="235"/>
      <c r="BN160" s="235"/>
      <c r="BO160" s="235"/>
      <c r="BP160" s="235"/>
      <c r="BQ160" s="235"/>
      <c r="BR160" s="235"/>
      <c r="BS160" s="235"/>
      <c r="BT160" s="235"/>
      <c r="BU160" s="235"/>
      <c r="BV160" s="235"/>
      <c r="BW160" s="235"/>
    </row>
    <row r="161" spans="1:75">
      <c r="A161" s="205">
        <v>41537</v>
      </c>
      <c r="B161" s="237"/>
      <c r="C161" s="230">
        <f t="shared" ref="C161:S161" si="174">ROUND((C78-C79),2)</f>
        <v>0</v>
      </c>
      <c r="D161" s="230">
        <f t="shared" si="174"/>
        <v>0</v>
      </c>
      <c r="E161" s="230">
        <f t="shared" si="174"/>
        <v>0</v>
      </c>
      <c r="F161" s="230">
        <f t="shared" si="174"/>
        <v>0</v>
      </c>
      <c r="G161" s="230">
        <f t="shared" si="174"/>
        <v>0</v>
      </c>
      <c r="H161" s="230">
        <f t="shared" si="174"/>
        <v>0</v>
      </c>
      <c r="I161" s="230">
        <f t="shared" si="174"/>
        <v>0</v>
      </c>
      <c r="J161" s="230">
        <f t="shared" si="174"/>
        <v>0</v>
      </c>
      <c r="K161" s="230">
        <f t="shared" si="174"/>
        <v>0</v>
      </c>
      <c r="L161" s="230">
        <f t="shared" si="174"/>
        <v>0</v>
      </c>
      <c r="M161" s="230">
        <f t="shared" si="174"/>
        <v>0</v>
      </c>
      <c r="N161" s="230">
        <f t="shared" si="174"/>
        <v>0</v>
      </c>
      <c r="O161" s="230">
        <f t="shared" si="174"/>
        <v>0</v>
      </c>
      <c r="P161" s="230">
        <f t="shared" si="174"/>
        <v>0</v>
      </c>
      <c r="Q161" s="230">
        <f t="shared" si="174"/>
        <v>0</v>
      </c>
      <c r="R161" s="230">
        <f t="shared" si="174"/>
        <v>0</v>
      </c>
      <c r="S161" s="230">
        <f t="shared" si="174"/>
        <v>0</v>
      </c>
      <c r="T161" s="209">
        <f t="shared" si="166"/>
        <v>0</v>
      </c>
      <c r="U161" s="205">
        <v>41537</v>
      </c>
      <c r="V161" s="213"/>
      <c r="W161" s="231"/>
      <c r="X161" s="231"/>
      <c r="Y161" s="231"/>
      <c r="Z161" s="231"/>
      <c r="AA161" s="231"/>
      <c r="AB161" s="231"/>
      <c r="AC161" s="231"/>
      <c r="AD161" s="231"/>
      <c r="AE161" s="231"/>
      <c r="AF161" s="231"/>
      <c r="AG161" s="231"/>
      <c r="AH161" s="231"/>
      <c r="AI161" s="231"/>
      <c r="AJ161" s="231"/>
      <c r="AK161" s="231"/>
      <c r="AL161" s="231"/>
      <c r="AM161" s="231"/>
      <c r="AN161" s="205">
        <v>41537</v>
      </c>
      <c r="AO161" s="233"/>
      <c r="AP161" s="231"/>
      <c r="AQ161" s="231"/>
      <c r="AR161" s="231"/>
      <c r="AS161" s="231"/>
      <c r="AT161" s="231"/>
      <c r="AU161" s="231"/>
      <c r="AV161" s="231"/>
      <c r="AW161" s="231"/>
      <c r="AX161" s="231"/>
      <c r="AY161" s="231"/>
      <c r="AZ161" s="231"/>
      <c r="BA161" s="231"/>
      <c r="BB161" s="231"/>
      <c r="BC161" s="231"/>
      <c r="BD161" s="231"/>
      <c r="BE161" s="232"/>
      <c r="BF161" s="205">
        <v>41537</v>
      </c>
      <c r="BG161" s="235"/>
      <c r="BH161" s="235"/>
      <c r="BI161" s="235"/>
      <c r="BJ161" s="235"/>
      <c r="BK161" s="235"/>
      <c r="BL161" s="235"/>
      <c r="BM161" s="235"/>
      <c r="BN161" s="235"/>
      <c r="BO161" s="235"/>
      <c r="BP161" s="235"/>
      <c r="BQ161" s="235"/>
      <c r="BR161" s="235"/>
      <c r="BS161" s="235"/>
      <c r="BT161" s="235"/>
      <c r="BU161" s="235"/>
      <c r="BV161" s="235"/>
      <c r="BW161" s="235"/>
    </row>
    <row r="162" spans="1:75">
      <c r="A162" s="205">
        <v>41567</v>
      </c>
      <c r="B162" s="237"/>
      <c r="C162" s="230">
        <f t="shared" ref="C162:S162" si="175">ROUND((C79-C80),2)</f>
        <v>0</v>
      </c>
      <c r="D162" s="230">
        <f t="shared" si="175"/>
        <v>0</v>
      </c>
      <c r="E162" s="230">
        <f t="shared" si="175"/>
        <v>0</v>
      </c>
      <c r="F162" s="230">
        <f t="shared" si="175"/>
        <v>0</v>
      </c>
      <c r="G162" s="230">
        <f t="shared" si="175"/>
        <v>0</v>
      </c>
      <c r="H162" s="230">
        <f t="shared" si="175"/>
        <v>0</v>
      </c>
      <c r="I162" s="230">
        <f t="shared" si="175"/>
        <v>0</v>
      </c>
      <c r="J162" s="230">
        <f t="shared" si="175"/>
        <v>0</v>
      </c>
      <c r="K162" s="230">
        <f t="shared" si="175"/>
        <v>0</v>
      </c>
      <c r="L162" s="230">
        <f t="shared" si="175"/>
        <v>0</v>
      </c>
      <c r="M162" s="230">
        <f t="shared" si="175"/>
        <v>0</v>
      </c>
      <c r="N162" s="230">
        <f t="shared" si="175"/>
        <v>0</v>
      </c>
      <c r="O162" s="230">
        <f t="shared" si="175"/>
        <v>0</v>
      </c>
      <c r="P162" s="230">
        <f t="shared" si="175"/>
        <v>0</v>
      </c>
      <c r="Q162" s="230">
        <f t="shared" si="175"/>
        <v>0</v>
      </c>
      <c r="R162" s="230">
        <f t="shared" si="175"/>
        <v>0</v>
      </c>
      <c r="S162" s="230">
        <f t="shared" si="175"/>
        <v>0</v>
      </c>
      <c r="T162" s="209">
        <f t="shared" si="166"/>
        <v>0</v>
      </c>
      <c r="U162" s="205">
        <v>41567</v>
      </c>
      <c r="V162" s="213"/>
      <c r="W162" s="231"/>
      <c r="X162" s="231"/>
      <c r="Y162" s="231"/>
      <c r="Z162" s="231"/>
      <c r="AA162" s="231"/>
      <c r="AB162" s="231"/>
      <c r="AC162" s="231"/>
      <c r="AD162" s="231"/>
      <c r="AE162" s="231"/>
      <c r="AF162" s="231"/>
      <c r="AG162" s="231"/>
      <c r="AH162" s="231"/>
      <c r="AI162" s="231"/>
      <c r="AJ162" s="231"/>
      <c r="AK162" s="231"/>
      <c r="AL162" s="231"/>
      <c r="AM162" s="231"/>
      <c r="AN162" s="205">
        <v>41567</v>
      </c>
      <c r="AO162" s="233"/>
      <c r="AP162" s="231"/>
      <c r="AQ162" s="231"/>
      <c r="AR162" s="231"/>
      <c r="AS162" s="231"/>
      <c r="AT162" s="231"/>
      <c r="AU162" s="231"/>
      <c r="AV162" s="231"/>
      <c r="AW162" s="231"/>
      <c r="AX162" s="231"/>
      <c r="AY162" s="231"/>
      <c r="AZ162" s="231"/>
      <c r="BA162" s="231"/>
      <c r="BB162" s="231"/>
      <c r="BC162" s="231"/>
      <c r="BD162" s="231"/>
      <c r="BE162" s="232"/>
      <c r="BF162" s="205">
        <v>41567</v>
      </c>
      <c r="BG162" s="235"/>
      <c r="BH162" s="235"/>
      <c r="BI162" s="235"/>
      <c r="BJ162" s="235"/>
      <c r="BK162" s="235"/>
      <c r="BL162" s="235"/>
      <c r="BM162" s="235"/>
      <c r="BN162" s="235"/>
      <c r="BO162" s="235"/>
      <c r="BP162" s="235"/>
      <c r="BQ162" s="235"/>
      <c r="BR162" s="235"/>
      <c r="BS162" s="235"/>
      <c r="BT162" s="235"/>
      <c r="BU162" s="235"/>
      <c r="BV162" s="235"/>
      <c r="BW162" s="235"/>
    </row>
    <row r="163" spans="1:75">
      <c r="A163" s="205">
        <v>41598</v>
      </c>
      <c r="B163" s="237"/>
      <c r="C163" s="230">
        <f t="shared" ref="C163:S163" si="176">ROUND((C80-C81),2)</f>
        <v>0</v>
      </c>
      <c r="D163" s="230">
        <f t="shared" si="176"/>
        <v>0</v>
      </c>
      <c r="E163" s="230">
        <f t="shared" si="176"/>
        <v>0</v>
      </c>
      <c r="F163" s="230">
        <f t="shared" si="176"/>
        <v>0</v>
      </c>
      <c r="G163" s="230">
        <f t="shared" si="176"/>
        <v>0</v>
      </c>
      <c r="H163" s="230">
        <f t="shared" si="176"/>
        <v>0</v>
      </c>
      <c r="I163" s="230">
        <f t="shared" si="176"/>
        <v>0</v>
      </c>
      <c r="J163" s="230">
        <f t="shared" si="176"/>
        <v>0</v>
      </c>
      <c r="K163" s="230">
        <f t="shared" si="176"/>
        <v>0</v>
      </c>
      <c r="L163" s="230">
        <f t="shared" si="176"/>
        <v>0</v>
      </c>
      <c r="M163" s="230">
        <f t="shared" si="176"/>
        <v>0</v>
      </c>
      <c r="N163" s="230">
        <f t="shared" si="176"/>
        <v>0</v>
      </c>
      <c r="O163" s="230">
        <f t="shared" si="176"/>
        <v>0</v>
      </c>
      <c r="P163" s="230">
        <f t="shared" si="176"/>
        <v>0</v>
      </c>
      <c r="Q163" s="230">
        <f t="shared" si="176"/>
        <v>0</v>
      </c>
      <c r="R163" s="230">
        <f t="shared" si="176"/>
        <v>0</v>
      </c>
      <c r="S163" s="230">
        <f t="shared" si="176"/>
        <v>0</v>
      </c>
      <c r="T163" s="209">
        <f t="shared" si="166"/>
        <v>0</v>
      </c>
      <c r="U163" s="205">
        <v>41598</v>
      </c>
      <c r="V163" s="213"/>
      <c r="W163" s="231"/>
      <c r="X163" s="231"/>
      <c r="Y163" s="231"/>
      <c r="Z163" s="231"/>
      <c r="AA163" s="231"/>
      <c r="AB163" s="231"/>
      <c r="AC163" s="231"/>
      <c r="AD163" s="231"/>
      <c r="AE163" s="231"/>
      <c r="AF163" s="231"/>
      <c r="AG163" s="231"/>
      <c r="AH163" s="231"/>
      <c r="AI163" s="231"/>
      <c r="AJ163" s="231"/>
      <c r="AK163" s="231"/>
      <c r="AL163" s="231"/>
      <c r="AM163" s="231"/>
      <c r="AN163" s="205">
        <v>41598</v>
      </c>
      <c r="AO163" s="233"/>
      <c r="AP163" s="231"/>
      <c r="AQ163" s="231"/>
      <c r="AR163" s="231"/>
      <c r="AS163" s="231"/>
      <c r="AT163" s="231"/>
      <c r="AU163" s="231"/>
      <c r="AV163" s="231"/>
      <c r="AW163" s="231"/>
      <c r="AX163" s="231"/>
      <c r="AY163" s="231"/>
      <c r="AZ163" s="231"/>
      <c r="BA163" s="231"/>
      <c r="BB163" s="231"/>
      <c r="BC163" s="231"/>
      <c r="BD163" s="231"/>
      <c r="BE163" s="232"/>
      <c r="BF163" s="205">
        <v>41598</v>
      </c>
      <c r="BG163" s="235"/>
      <c r="BH163" s="235"/>
      <c r="BI163" s="235"/>
      <c r="BJ163" s="235"/>
      <c r="BK163" s="235"/>
      <c r="BL163" s="235"/>
      <c r="BM163" s="235"/>
      <c r="BN163" s="235"/>
      <c r="BO163" s="235"/>
      <c r="BP163" s="235"/>
      <c r="BQ163" s="235"/>
      <c r="BR163" s="235"/>
      <c r="BS163" s="235"/>
      <c r="BT163" s="235"/>
      <c r="BU163" s="235"/>
      <c r="BV163" s="235"/>
      <c r="BW163" s="235"/>
    </row>
    <row r="164" spans="1:75">
      <c r="A164" s="205">
        <v>41628</v>
      </c>
      <c r="B164" s="237"/>
      <c r="C164" s="230">
        <f t="shared" ref="C164:S164" si="177">ROUND((C81-C82),2)</f>
        <v>0</v>
      </c>
      <c r="D164" s="230">
        <f t="shared" si="177"/>
        <v>0</v>
      </c>
      <c r="E164" s="230">
        <f t="shared" si="177"/>
        <v>0</v>
      </c>
      <c r="F164" s="230">
        <f t="shared" si="177"/>
        <v>0</v>
      </c>
      <c r="G164" s="230">
        <f t="shared" si="177"/>
        <v>0</v>
      </c>
      <c r="H164" s="230">
        <f t="shared" si="177"/>
        <v>0</v>
      </c>
      <c r="I164" s="230">
        <f t="shared" si="177"/>
        <v>0</v>
      </c>
      <c r="J164" s="230">
        <f t="shared" si="177"/>
        <v>0</v>
      </c>
      <c r="K164" s="230">
        <f t="shared" si="177"/>
        <v>0</v>
      </c>
      <c r="L164" s="230">
        <f t="shared" si="177"/>
        <v>0</v>
      </c>
      <c r="M164" s="230">
        <f t="shared" si="177"/>
        <v>0</v>
      </c>
      <c r="N164" s="230">
        <f t="shared" si="177"/>
        <v>0</v>
      </c>
      <c r="O164" s="230">
        <f t="shared" si="177"/>
        <v>0</v>
      </c>
      <c r="P164" s="230">
        <f t="shared" si="177"/>
        <v>0</v>
      </c>
      <c r="Q164" s="230">
        <f t="shared" si="177"/>
        <v>0</v>
      </c>
      <c r="R164" s="230">
        <f t="shared" si="177"/>
        <v>0</v>
      </c>
      <c r="S164" s="230">
        <f t="shared" si="177"/>
        <v>0</v>
      </c>
      <c r="T164" s="209">
        <f t="shared" si="166"/>
        <v>0</v>
      </c>
      <c r="U164" s="205">
        <v>41628</v>
      </c>
      <c r="V164" s="213"/>
      <c r="W164" s="231"/>
      <c r="X164" s="231"/>
      <c r="Y164" s="231"/>
      <c r="Z164" s="231"/>
      <c r="AA164" s="231"/>
      <c r="AB164" s="231"/>
      <c r="AC164" s="231"/>
      <c r="AD164" s="231"/>
      <c r="AE164" s="231"/>
      <c r="AF164" s="231"/>
      <c r="AG164" s="231"/>
      <c r="AH164" s="231"/>
      <c r="AI164" s="231"/>
      <c r="AJ164" s="231"/>
      <c r="AK164" s="231"/>
      <c r="AL164" s="231"/>
      <c r="AM164" s="231"/>
      <c r="AN164" s="205">
        <v>41628</v>
      </c>
      <c r="AO164" s="233"/>
      <c r="AP164" s="231"/>
      <c r="AQ164" s="231"/>
      <c r="AR164" s="231"/>
      <c r="AS164" s="231"/>
      <c r="AT164" s="231"/>
      <c r="AU164" s="231"/>
      <c r="AV164" s="231"/>
      <c r="AW164" s="231"/>
      <c r="AX164" s="231"/>
      <c r="AY164" s="231"/>
      <c r="AZ164" s="231"/>
      <c r="BA164" s="231"/>
      <c r="BB164" s="231"/>
      <c r="BC164" s="231"/>
      <c r="BD164" s="231"/>
      <c r="BE164" s="232"/>
      <c r="BF164" s="205">
        <v>41628</v>
      </c>
      <c r="BG164" s="235"/>
      <c r="BH164" s="235"/>
      <c r="BI164" s="235"/>
      <c r="BJ164" s="235"/>
      <c r="BK164" s="235"/>
      <c r="BL164" s="235"/>
      <c r="BM164" s="235"/>
      <c r="BN164" s="235"/>
      <c r="BO164" s="235"/>
      <c r="BP164" s="235"/>
      <c r="BQ164" s="235"/>
      <c r="BR164" s="235"/>
      <c r="BS164" s="235"/>
      <c r="BT164" s="235"/>
      <c r="BU164" s="235"/>
      <c r="BV164" s="235"/>
      <c r="BW164" s="235"/>
    </row>
    <row r="165" spans="1:75">
      <c r="A165" s="225"/>
      <c r="B165" s="237"/>
      <c r="C165" s="230"/>
      <c r="D165" s="230"/>
      <c r="E165" s="230"/>
      <c r="F165" s="230"/>
      <c r="G165" s="230"/>
      <c r="H165" s="230"/>
      <c r="I165" s="230"/>
      <c r="J165" s="230"/>
      <c r="K165" s="230"/>
      <c r="L165" s="230"/>
      <c r="M165" s="230"/>
      <c r="N165" s="230"/>
      <c r="O165" s="230"/>
      <c r="P165" s="230"/>
      <c r="Q165" s="230"/>
      <c r="R165" s="230"/>
      <c r="S165" s="230"/>
      <c r="T165" s="209"/>
      <c r="U165" s="213"/>
      <c r="V165" s="213"/>
      <c r="W165" s="231"/>
      <c r="X165" s="231"/>
      <c r="Y165" s="231"/>
      <c r="Z165" s="231"/>
      <c r="AA165" s="231"/>
      <c r="AB165" s="231"/>
      <c r="AC165" s="231"/>
      <c r="AD165" s="231"/>
      <c r="AE165" s="231"/>
      <c r="AF165" s="231"/>
      <c r="AG165" s="231"/>
      <c r="AH165" s="231"/>
      <c r="AI165" s="231"/>
      <c r="AJ165" s="231"/>
      <c r="AK165" s="231"/>
      <c r="AL165" s="231"/>
      <c r="AM165" s="231"/>
      <c r="AN165" s="213"/>
      <c r="AO165" s="233"/>
      <c r="AP165" s="231"/>
      <c r="AQ165" s="231"/>
      <c r="AR165" s="231"/>
      <c r="AS165" s="231"/>
      <c r="AT165" s="231"/>
      <c r="AU165" s="231"/>
      <c r="AV165" s="231"/>
      <c r="AW165" s="231"/>
      <c r="AX165" s="231"/>
      <c r="AY165" s="231"/>
      <c r="AZ165" s="231"/>
      <c r="BA165" s="231"/>
      <c r="BB165" s="231"/>
      <c r="BC165" s="231"/>
      <c r="BD165" s="231"/>
      <c r="BE165" s="232"/>
      <c r="BF165" s="213"/>
      <c r="BG165" s="235"/>
      <c r="BH165" s="235"/>
      <c r="BI165" s="235"/>
      <c r="BJ165" s="235"/>
      <c r="BK165" s="235"/>
      <c r="BL165" s="235"/>
      <c r="BM165" s="235"/>
      <c r="BN165" s="235"/>
      <c r="BO165" s="235"/>
      <c r="BP165" s="235"/>
      <c r="BQ165" s="235"/>
      <c r="BR165" s="235"/>
      <c r="BS165" s="235"/>
      <c r="BT165" s="235"/>
      <c r="BU165" s="235"/>
      <c r="BV165" s="235"/>
      <c r="BW165" s="235"/>
    </row>
    <row r="166" spans="1:75">
      <c r="A166" s="225"/>
      <c r="B166" s="237"/>
      <c r="C166" s="230"/>
      <c r="D166" s="230"/>
      <c r="E166" s="230"/>
      <c r="F166" s="230"/>
      <c r="G166" s="230"/>
      <c r="H166" s="230"/>
      <c r="I166" s="230"/>
      <c r="J166" s="230"/>
      <c r="K166" s="230"/>
      <c r="L166" s="230"/>
      <c r="M166" s="230"/>
      <c r="N166" s="230"/>
      <c r="O166" s="230"/>
      <c r="P166" s="230"/>
      <c r="Q166" s="230"/>
      <c r="R166" s="230"/>
      <c r="S166" s="230"/>
      <c r="T166" s="209"/>
      <c r="U166" s="213"/>
      <c r="V166" s="213"/>
      <c r="W166" s="231"/>
      <c r="X166" s="231"/>
      <c r="Y166" s="231"/>
      <c r="Z166" s="231"/>
      <c r="AA166" s="231"/>
      <c r="AB166" s="231"/>
      <c r="AC166" s="231"/>
      <c r="AD166" s="231"/>
      <c r="AE166" s="231"/>
      <c r="AF166" s="231"/>
      <c r="AG166" s="231"/>
      <c r="AH166" s="231"/>
      <c r="AI166" s="231"/>
      <c r="AJ166" s="231"/>
      <c r="AK166" s="231"/>
      <c r="AL166" s="231"/>
      <c r="AM166" s="231"/>
      <c r="AN166" s="213"/>
      <c r="AO166" s="233"/>
      <c r="AP166" s="231"/>
      <c r="AQ166" s="231"/>
      <c r="AR166" s="231"/>
      <c r="AS166" s="231"/>
      <c r="AT166" s="231"/>
      <c r="AU166" s="231"/>
      <c r="AV166" s="231"/>
      <c r="AW166" s="231"/>
      <c r="AX166" s="231"/>
      <c r="AY166" s="231"/>
      <c r="AZ166" s="231"/>
      <c r="BA166" s="231"/>
      <c r="BB166" s="231"/>
      <c r="BC166" s="231"/>
      <c r="BD166" s="231"/>
      <c r="BE166" s="232"/>
      <c r="BF166" s="213"/>
      <c r="BG166" s="235"/>
      <c r="BH166" s="235"/>
      <c r="BI166" s="235"/>
      <c r="BJ166" s="235"/>
      <c r="BK166" s="235"/>
      <c r="BL166" s="235"/>
      <c r="BM166" s="235"/>
      <c r="BN166" s="235"/>
      <c r="BO166" s="235"/>
      <c r="BP166" s="235"/>
      <c r="BQ166" s="235"/>
      <c r="BR166" s="235"/>
      <c r="BS166" s="235"/>
      <c r="BT166" s="235"/>
      <c r="BU166" s="235"/>
      <c r="BV166" s="235"/>
      <c r="BW166" s="235"/>
    </row>
    <row r="167" spans="1:75" ht="13.5" thickBot="1">
      <c r="A167" s="244"/>
      <c r="B167" s="237"/>
      <c r="C167" s="230"/>
      <c r="D167" s="230"/>
      <c r="E167" s="230"/>
      <c r="F167" s="230"/>
      <c r="G167" s="230"/>
      <c r="H167" s="230"/>
      <c r="I167" s="230"/>
      <c r="J167" s="230"/>
      <c r="K167" s="230"/>
      <c r="L167" s="230"/>
      <c r="M167" s="230"/>
      <c r="N167" s="230"/>
      <c r="O167" s="230"/>
      <c r="P167" s="230"/>
      <c r="Q167" s="230"/>
      <c r="R167" s="230"/>
      <c r="S167" s="230"/>
      <c r="T167" s="209"/>
      <c r="AO167" s="245"/>
      <c r="AP167" s="239">
        <f t="shared" ref="AP167:BE167" si="178">D167-W167</f>
        <v>0</v>
      </c>
      <c r="AQ167" s="239">
        <f t="shared" si="178"/>
        <v>0</v>
      </c>
      <c r="AR167" s="239">
        <f t="shared" si="178"/>
        <v>0</v>
      </c>
      <c r="AS167" s="239">
        <f t="shared" si="178"/>
        <v>0</v>
      </c>
      <c r="AT167" s="239">
        <f t="shared" si="178"/>
        <v>0</v>
      </c>
      <c r="AU167" s="239">
        <f t="shared" si="178"/>
        <v>0</v>
      </c>
      <c r="AV167" s="239">
        <f t="shared" si="178"/>
        <v>0</v>
      </c>
      <c r="AW167" s="239">
        <f t="shared" si="178"/>
        <v>0</v>
      </c>
      <c r="AX167" s="239">
        <f t="shared" si="178"/>
        <v>0</v>
      </c>
      <c r="AY167" s="239">
        <f t="shared" si="178"/>
        <v>0</v>
      </c>
      <c r="AZ167" s="239">
        <f t="shared" si="178"/>
        <v>0</v>
      </c>
      <c r="BA167" s="239">
        <f t="shared" si="178"/>
        <v>0</v>
      </c>
      <c r="BB167" s="239">
        <f t="shared" si="178"/>
        <v>0</v>
      </c>
      <c r="BC167" s="239">
        <f t="shared" si="178"/>
        <v>0</v>
      </c>
      <c r="BD167" s="239">
        <f t="shared" si="178"/>
        <v>0</v>
      </c>
      <c r="BE167" s="240">
        <f t="shared" si="178"/>
        <v>0</v>
      </c>
    </row>
    <row r="168" spans="1:75">
      <c r="A168" s="75"/>
      <c r="B168" s="75"/>
    </row>
    <row r="169" spans="1:75">
      <c r="A169" s="76">
        <v>1</v>
      </c>
      <c r="B169" s="76">
        <v>2</v>
      </c>
      <c r="C169" s="76">
        <v>3</v>
      </c>
      <c r="D169" s="76">
        <v>4</v>
      </c>
      <c r="E169" s="76">
        <v>5</v>
      </c>
      <c r="F169" s="76">
        <v>6</v>
      </c>
      <c r="G169" s="76">
        <v>7</v>
      </c>
      <c r="H169" s="76">
        <v>8</v>
      </c>
      <c r="I169" s="76">
        <v>9</v>
      </c>
      <c r="J169" s="76">
        <v>10</v>
      </c>
      <c r="K169" s="76">
        <v>11</v>
      </c>
      <c r="L169" s="76">
        <v>12</v>
      </c>
      <c r="M169" s="76">
        <v>13</v>
      </c>
      <c r="N169" s="76">
        <v>14</v>
      </c>
      <c r="O169" s="76">
        <v>15</v>
      </c>
      <c r="P169" s="76">
        <v>16</v>
      </c>
      <c r="Q169" s="76">
        <v>17</v>
      </c>
      <c r="R169" s="76">
        <v>18</v>
      </c>
      <c r="S169" s="76">
        <v>19</v>
      </c>
      <c r="T169" s="76">
        <v>20</v>
      </c>
    </row>
    <row r="170" spans="1:75" ht="13.5" thickBot="1">
      <c r="A170" s="220" t="s">
        <v>997</v>
      </c>
      <c r="B170" s="75"/>
      <c r="C170" s="199" t="s">
        <v>742</v>
      </c>
      <c r="D170" s="199" t="s">
        <v>743</v>
      </c>
      <c r="E170" s="199" t="s">
        <v>744</v>
      </c>
      <c r="F170" s="199" t="s">
        <v>745</v>
      </c>
      <c r="G170" s="199" t="s">
        <v>746</v>
      </c>
      <c r="H170" s="199" t="s">
        <v>747</v>
      </c>
      <c r="I170" s="199" t="s">
        <v>748</v>
      </c>
      <c r="J170" s="199" t="s">
        <v>749</v>
      </c>
      <c r="K170" s="199" t="s">
        <v>750</v>
      </c>
      <c r="L170" s="199" t="s">
        <v>751</v>
      </c>
      <c r="M170" s="199" t="s">
        <v>752</v>
      </c>
      <c r="N170" s="199" t="s">
        <v>753</v>
      </c>
      <c r="O170" s="199" t="s">
        <v>754</v>
      </c>
      <c r="P170" s="199" t="s">
        <v>755</v>
      </c>
      <c r="Q170" s="199" t="s">
        <v>756</v>
      </c>
      <c r="R170" s="199" t="s">
        <v>757</v>
      </c>
      <c r="S170" s="199" t="s">
        <v>758</v>
      </c>
      <c r="T170" s="201" t="s">
        <v>993</v>
      </c>
    </row>
    <row r="171" spans="1:75">
      <c r="A171" s="225">
        <v>39239</v>
      </c>
      <c r="B171" s="75"/>
      <c r="C171" s="227">
        <f>C3</f>
        <v>1057082452.4312897</v>
      </c>
      <c r="D171" s="228">
        <f>D3</f>
        <v>308470204.96810097</v>
      </c>
      <c r="E171" s="228">
        <f>E3</f>
        <v>149300000</v>
      </c>
      <c r="F171" s="228">
        <f t="shared" ref="F171:S171" si="179">F3</f>
        <v>912866203.56387806</v>
      </c>
      <c r="G171" s="228">
        <f t="shared" si="179"/>
        <v>339351160.58096915</v>
      </c>
      <c r="H171" s="228">
        <f t="shared" si="179"/>
        <v>1222692036.645525</v>
      </c>
      <c r="I171" s="228">
        <f t="shared" si="179"/>
        <v>777792860.05158138</v>
      </c>
      <c r="J171" s="228">
        <f t="shared" si="179"/>
        <v>768500000</v>
      </c>
      <c r="K171" s="228">
        <f t="shared" si="179"/>
        <v>43290043.290043294</v>
      </c>
      <c r="L171" s="228">
        <f t="shared" si="179"/>
        <v>95018324.962671369</v>
      </c>
      <c r="M171" s="228">
        <f t="shared" si="179"/>
        <v>20000000</v>
      </c>
      <c r="N171" s="228">
        <f t="shared" si="179"/>
        <v>32719218.765730396</v>
      </c>
      <c r="O171" s="228">
        <f t="shared" si="179"/>
        <v>64544590.742500335</v>
      </c>
      <c r="P171" s="228">
        <f t="shared" si="179"/>
        <v>40000000</v>
      </c>
      <c r="Q171" s="228">
        <f t="shared" si="179"/>
        <v>22651766.837813351</v>
      </c>
      <c r="R171" s="228">
        <f t="shared" si="179"/>
        <v>129564273.10981403</v>
      </c>
      <c r="S171" s="229">
        <f t="shared" si="179"/>
        <v>22000000</v>
      </c>
      <c r="T171" s="255">
        <f t="shared" ref="T171:T202" si="180">SUM(C171:S171)</f>
        <v>6005843135.9499168</v>
      </c>
    </row>
    <row r="172" spans="1:75">
      <c r="A172" s="225">
        <v>39253</v>
      </c>
      <c r="B172" s="75"/>
      <c r="C172" s="234">
        <f>C$3-SUM(V$85:V86)</f>
        <v>1057082452.4312897</v>
      </c>
      <c r="D172" s="235">
        <f>D$171-SUM(W$85:W86)</f>
        <v>308470204.96810097</v>
      </c>
      <c r="E172" s="235">
        <f>E$171-SUM(X$85:X86)</f>
        <v>149300000</v>
      </c>
      <c r="F172" s="235">
        <f>F$171-SUM(Y$85:Y86)</f>
        <v>912866203.56387806</v>
      </c>
      <c r="G172" s="235">
        <f>G$171-SUM(Z$85:Z86)</f>
        <v>339351160.58096915</v>
      </c>
      <c r="H172" s="235">
        <f>H$171-SUM(AA$85:AA86)</f>
        <v>1222692036.645525</v>
      </c>
      <c r="I172" s="235">
        <f>I$171-SUM(AB$85:AB86)</f>
        <v>777792860.05158138</v>
      </c>
      <c r="J172" s="235">
        <f>J$171-SUM(AC$85:AC86)</f>
        <v>768500000</v>
      </c>
      <c r="K172" s="235">
        <f>K$171-SUM(AD$85:AD86)</f>
        <v>43290043.290043294</v>
      </c>
      <c r="L172" s="235">
        <f>L$171-SUM(AE$85:AE86)</f>
        <v>95018324.962671369</v>
      </c>
      <c r="M172" s="235">
        <f>M$171-SUM(AF$85:AF86)</f>
        <v>20000000</v>
      </c>
      <c r="N172" s="235">
        <f>N$171-SUM(AG$85:AG86)</f>
        <v>32719218.765730396</v>
      </c>
      <c r="O172" s="235">
        <f>O$171-SUM(AH$85:AH86)</f>
        <v>64544590.742500335</v>
      </c>
      <c r="P172" s="235">
        <f>P$171-SUM(AI$85:AI86)</f>
        <v>40000000</v>
      </c>
      <c r="Q172" s="235">
        <f>Q$171-SUM(AJ$85:AJ86)</f>
        <v>22651766.837813351</v>
      </c>
      <c r="R172" s="235">
        <f>R$171-SUM(AK$85:AK86)</f>
        <v>129564273.10981403</v>
      </c>
      <c r="S172" s="236">
        <f>S$171-SUM(AL$85:AL86)</f>
        <v>22000000</v>
      </c>
      <c r="T172" s="260">
        <f t="shared" si="180"/>
        <v>6005843135.9499168</v>
      </c>
    </row>
    <row r="173" spans="1:75">
      <c r="A173" s="225">
        <v>39283</v>
      </c>
      <c r="B173" s="75"/>
      <c r="C173" s="234">
        <f>C$171-SUM(V$85:V87)</f>
        <v>1057082452.4312897</v>
      </c>
      <c r="D173" s="235">
        <f>D$171-SUM(W$85:W87)</f>
        <v>308470204.96810097</v>
      </c>
      <c r="E173" s="235">
        <f>E$171-SUM(X$85:X87)</f>
        <v>149300000</v>
      </c>
      <c r="F173" s="235">
        <f>F$171-SUM(Y$85:Y87)</f>
        <v>912866203.56387806</v>
      </c>
      <c r="G173" s="235">
        <f>G$171-SUM(Z$85:Z87)</f>
        <v>339351160.58096915</v>
      </c>
      <c r="H173" s="235">
        <f>H$171-SUM(AA$85:AA87)</f>
        <v>1222692036.645525</v>
      </c>
      <c r="I173" s="235">
        <f>I$171-SUM(AB$85:AB87)</f>
        <v>777792860.05158138</v>
      </c>
      <c r="J173" s="235">
        <f>J$171-SUM(AC$85:AC87)</f>
        <v>768500000</v>
      </c>
      <c r="K173" s="235">
        <f>K$171-SUM(AD$85:AD87)</f>
        <v>43290043.290043294</v>
      </c>
      <c r="L173" s="235">
        <f>L$171-SUM(AE$85:AE87)</f>
        <v>95018324.962671369</v>
      </c>
      <c r="M173" s="235">
        <f>M$171-SUM(AF$85:AF87)</f>
        <v>20000000</v>
      </c>
      <c r="N173" s="235">
        <f>N$171-SUM(AG$85:AG87)</f>
        <v>32719218.765730396</v>
      </c>
      <c r="O173" s="235">
        <f>O$171-SUM(AH$85:AH87)</f>
        <v>64544590.742500335</v>
      </c>
      <c r="P173" s="235">
        <f>P$171-SUM(AI$85:AI87)</f>
        <v>40000000</v>
      </c>
      <c r="Q173" s="235">
        <f>Q$171-SUM(AJ$85:AJ87)</f>
        <v>22651766.837813351</v>
      </c>
      <c r="R173" s="235">
        <f>R$171-SUM(AK$85:AK87)</f>
        <v>129564273.10981403</v>
      </c>
      <c r="S173" s="236">
        <f>S$171-SUM(AL$85:AL87)</f>
        <v>22000000</v>
      </c>
      <c r="T173" s="260">
        <f t="shared" si="180"/>
        <v>6005843135.9499168</v>
      </c>
      <c r="V173" s="190"/>
    </row>
    <row r="174" spans="1:75">
      <c r="A174" s="225">
        <v>39314</v>
      </c>
      <c r="B174" s="75"/>
      <c r="C174" s="234">
        <f>C$171-SUM(V$85:V88)</f>
        <v>979936475.25128961</v>
      </c>
      <c r="D174" s="235">
        <f>D$171-SUM(W$85:W88)</f>
        <v>285958020.28810096</v>
      </c>
      <c r="E174" s="235">
        <f>E$171-SUM(X$85:X88)</f>
        <v>138404071.90000001</v>
      </c>
      <c r="F174" s="235">
        <f>F$171-SUM(Y$85:Y88)</f>
        <v>912866203.56387806</v>
      </c>
      <c r="G174" s="235">
        <f>G$171-SUM(Z$85:Z88)</f>
        <v>339351160.58096915</v>
      </c>
      <c r="H174" s="235">
        <f>H$171-SUM(AA$85:AA88)</f>
        <v>1222692036.645525</v>
      </c>
      <c r="I174" s="235">
        <f>I$171-SUM(AB$85:AB88)</f>
        <v>777792860.05158138</v>
      </c>
      <c r="J174" s="235">
        <f>J$171-SUM(AC$85:AC88)</f>
        <v>768500000</v>
      </c>
      <c r="K174" s="235">
        <f>K$171-SUM(AD$85:AD88)</f>
        <v>43290043.290043294</v>
      </c>
      <c r="L174" s="235">
        <f>L$171-SUM(AE$85:AE88)</f>
        <v>95018324.962671369</v>
      </c>
      <c r="M174" s="235">
        <f>M$171-SUM(AF$85:AF88)</f>
        <v>20000000</v>
      </c>
      <c r="N174" s="235">
        <f>N$171-SUM(AG$85:AG88)</f>
        <v>32719218.765730396</v>
      </c>
      <c r="O174" s="235">
        <f>O$171-SUM(AH$85:AH88)</f>
        <v>64544590.742500335</v>
      </c>
      <c r="P174" s="235">
        <f>P$171-SUM(AI$85:AI88)</f>
        <v>40000000</v>
      </c>
      <c r="Q174" s="235">
        <f>Q$171-SUM(AJ$85:AJ88)</f>
        <v>22651766.837813351</v>
      </c>
      <c r="R174" s="235">
        <f>R$171-SUM(AK$85:AK88)</f>
        <v>129564273.10981403</v>
      </c>
      <c r="S174" s="236">
        <f>S$171-SUM(AL$85:AL88)</f>
        <v>22000000</v>
      </c>
      <c r="T174" s="260">
        <f t="shared" si="180"/>
        <v>5895289045.9899168</v>
      </c>
    </row>
    <row r="175" spans="1:75">
      <c r="A175" s="225">
        <v>39345</v>
      </c>
      <c r="B175" s="75"/>
      <c r="C175" s="234">
        <f>C$171-SUM(V$85:V89)</f>
        <v>979936475.25128961</v>
      </c>
      <c r="D175" s="235">
        <f>D$171-SUM(W$85:W89)</f>
        <v>285958020.28810096</v>
      </c>
      <c r="E175" s="235">
        <f>E$171-SUM(X$85:X89)</f>
        <v>138404071.90000001</v>
      </c>
      <c r="F175" s="235">
        <f>F$171-SUM(Y$85:Y89)</f>
        <v>912866203.56387806</v>
      </c>
      <c r="G175" s="235">
        <f>G$171-SUM(Z$85:Z89)</f>
        <v>339351160.58096915</v>
      </c>
      <c r="H175" s="235">
        <f>H$171-SUM(AA$85:AA89)</f>
        <v>1222692036.645525</v>
      </c>
      <c r="I175" s="235">
        <f>I$171-SUM(AB$85:AB89)</f>
        <v>777792860.05158138</v>
      </c>
      <c r="J175" s="235">
        <f>J$171-SUM(AC$85:AC89)</f>
        <v>768500000</v>
      </c>
      <c r="K175" s="235">
        <f>K$171-SUM(AD$85:AD89)</f>
        <v>43290043.290043294</v>
      </c>
      <c r="L175" s="235">
        <f>L$171-SUM(AE$85:AE89)</f>
        <v>95018324.962671369</v>
      </c>
      <c r="M175" s="235">
        <f>M$171-SUM(AF$85:AF89)</f>
        <v>20000000</v>
      </c>
      <c r="N175" s="235">
        <f>N$171-SUM(AG$85:AG89)</f>
        <v>32719218.765730396</v>
      </c>
      <c r="O175" s="235">
        <f>O$171-SUM(AH$85:AH89)</f>
        <v>64544590.742500335</v>
      </c>
      <c r="P175" s="235">
        <f>P$171-SUM(AI$85:AI89)</f>
        <v>40000000</v>
      </c>
      <c r="Q175" s="235">
        <f>Q$171-SUM(AJ$85:AJ89)</f>
        <v>22651766.837813351</v>
      </c>
      <c r="R175" s="235">
        <f>R$171-SUM(AK$85:AK89)</f>
        <v>129564273.10981403</v>
      </c>
      <c r="S175" s="236">
        <f>S$171-SUM(AL$85:AL89)</f>
        <v>22000000</v>
      </c>
      <c r="T175" s="260">
        <f t="shared" si="180"/>
        <v>5895289045.9899168</v>
      </c>
    </row>
    <row r="176" spans="1:75">
      <c r="A176" s="225">
        <v>39375</v>
      </c>
      <c r="B176" s="75"/>
      <c r="C176" s="234">
        <f>C$171-SUM(V$85:V90)</f>
        <v>979936475.25128961</v>
      </c>
      <c r="D176" s="235">
        <f>D$171-SUM(W$85:W90)</f>
        <v>285958020.28810096</v>
      </c>
      <c r="E176" s="235">
        <f>E$171-SUM(X$85:X90)</f>
        <v>138404071.90000001</v>
      </c>
      <c r="F176" s="235">
        <f>F$171-SUM(Y$85:Y90)</f>
        <v>912866203.56387806</v>
      </c>
      <c r="G176" s="235">
        <f>G$171-SUM(Z$85:Z90)</f>
        <v>339351160.58096915</v>
      </c>
      <c r="H176" s="235">
        <f>H$171-SUM(AA$85:AA90)</f>
        <v>1222692036.645525</v>
      </c>
      <c r="I176" s="235">
        <f>I$171-SUM(AB$85:AB90)</f>
        <v>777792860.05158138</v>
      </c>
      <c r="J176" s="235">
        <f>J$171-SUM(AC$85:AC90)</f>
        <v>768500000</v>
      </c>
      <c r="K176" s="235">
        <f>K$171-SUM(AD$85:AD90)</f>
        <v>43290043.290043294</v>
      </c>
      <c r="L176" s="235">
        <f>L$171-SUM(AE$85:AE90)</f>
        <v>95018324.962671369</v>
      </c>
      <c r="M176" s="235">
        <f>M$171-SUM(AF$85:AF90)</f>
        <v>20000000</v>
      </c>
      <c r="N176" s="235">
        <f>N$171-SUM(AG$85:AG90)</f>
        <v>32719218.765730396</v>
      </c>
      <c r="O176" s="235">
        <f>O$171-SUM(AH$85:AH90)</f>
        <v>64544590.742500335</v>
      </c>
      <c r="P176" s="235">
        <f>P$171-SUM(AI$85:AI90)</f>
        <v>40000000</v>
      </c>
      <c r="Q176" s="235">
        <f>Q$171-SUM(AJ$85:AJ90)</f>
        <v>22651766.837813351</v>
      </c>
      <c r="R176" s="235">
        <f>R$171-SUM(AK$85:AK90)</f>
        <v>129564273.10981403</v>
      </c>
      <c r="S176" s="236">
        <f>S$171-SUM(AL$85:AL90)</f>
        <v>22000000</v>
      </c>
      <c r="T176" s="260">
        <f t="shared" si="180"/>
        <v>5895289045.9899168</v>
      </c>
    </row>
    <row r="177" spans="1:20">
      <c r="A177" s="225">
        <v>39406</v>
      </c>
      <c r="B177" s="75"/>
      <c r="C177" s="234">
        <f>C$171-SUM(V$85:V91)</f>
        <v>756922064.89128971</v>
      </c>
      <c r="D177" s="235">
        <f>D$171-SUM(W$85:W91)</f>
        <v>220879557.65810096</v>
      </c>
      <c r="E177" s="235">
        <f>E$171-SUM(X$85:X91)</f>
        <v>106906007.21000001</v>
      </c>
      <c r="F177" s="235">
        <f>F$171-SUM(Y$85:Y91)</f>
        <v>912866203.56387806</v>
      </c>
      <c r="G177" s="235">
        <f>G$171-SUM(Z$85:Z91)</f>
        <v>339351160.58096915</v>
      </c>
      <c r="H177" s="235">
        <f>H$171-SUM(AA$85:AA91)</f>
        <v>1222692036.645525</v>
      </c>
      <c r="I177" s="235">
        <f>I$171-SUM(AB$85:AB91)</f>
        <v>777792860.05158138</v>
      </c>
      <c r="J177" s="235">
        <f>J$171-SUM(AC$85:AC91)</f>
        <v>768500000</v>
      </c>
      <c r="K177" s="235">
        <f>K$171-SUM(AD$85:AD91)</f>
        <v>43290043.290043294</v>
      </c>
      <c r="L177" s="235">
        <f>L$171-SUM(AE$85:AE91)</f>
        <v>95018324.962671369</v>
      </c>
      <c r="M177" s="235">
        <f>M$171-SUM(AF$85:AF91)</f>
        <v>20000000</v>
      </c>
      <c r="N177" s="235">
        <f>N$171-SUM(AG$85:AG91)</f>
        <v>32719218.765730396</v>
      </c>
      <c r="O177" s="235">
        <f>O$171-SUM(AH$85:AH91)</f>
        <v>64544590.742500335</v>
      </c>
      <c r="P177" s="235">
        <f>P$171-SUM(AI$85:AI91)</f>
        <v>40000000</v>
      </c>
      <c r="Q177" s="235">
        <f>Q$171-SUM(AJ$85:AJ91)</f>
        <v>22651766.837813351</v>
      </c>
      <c r="R177" s="235">
        <f>R$171-SUM(AK$85:AK91)</f>
        <v>129564273.10981403</v>
      </c>
      <c r="S177" s="236">
        <f>S$171-SUM(AL$85:AL91)</f>
        <v>22000000</v>
      </c>
      <c r="T177" s="260">
        <f t="shared" si="180"/>
        <v>5575698108.3099165</v>
      </c>
    </row>
    <row r="178" spans="1:20">
      <c r="A178" s="225">
        <v>39436</v>
      </c>
      <c r="B178" s="75"/>
      <c r="C178" s="234">
        <f>C$171-SUM(V$85:V92)</f>
        <v>756922064.89128971</v>
      </c>
      <c r="D178" s="235">
        <f>D$171-SUM(W$85:W92)</f>
        <v>220879557.65810096</v>
      </c>
      <c r="E178" s="235">
        <f>E$171-SUM(X$85:X92)</f>
        <v>106906007.21000001</v>
      </c>
      <c r="F178" s="235">
        <f>F$171-SUM(Y$85:Y92)</f>
        <v>912866203.56387806</v>
      </c>
      <c r="G178" s="235">
        <f>G$171-SUM(Z$85:Z92)</f>
        <v>339351160.58096915</v>
      </c>
      <c r="H178" s="235">
        <f>H$171-SUM(AA$85:AA92)</f>
        <v>1222692036.645525</v>
      </c>
      <c r="I178" s="235">
        <f>I$171-SUM(AB$85:AB92)</f>
        <v>777792860.05158138</v>
      </c>
      <c r="J178" s="235">
        <f>J$171-SUM(AC$85:AC92)</f>
        <v>768500000</v>
      </c>
      <c r="K178" s="235">
        <f>K$171-SUM(AD$85:AD92)</f>
        <v>43290043.290043294</v>
      </c>
      <c r="L178" s="235">
        <f>L$171-SUM(AE$85:AE92)</f>
        <v>95018324.962671369</v>
      </c>
      <c r="M178" s="235">
        <f>M$171-SUM(AF$85:AF92)</f>
        <v>20000000</v>
      </c>
      <c r="N178" s="235">
        <f>N$171-SUM(AG$85:AG92)</f>
        <v>32719218.765730396</v>
      </c>
      <c r="O178" s="235">
        <f>O$171-SUM(AH$85:AH92)</f>
        <v>64544590.742500335</v>
      </c>
      <c r="P178" s="235">
        <f>P$171-SUM(AI$85:AI92)</f>
        <v>40000000</v>
      </c>
      <c r="Q178" s="235">
        <f>Q$171-SUM(AJ$85:AJ92)</f>
        <v>22651766.837813351</v>
      </c>
      <c r="R178" s="235">
        <f>R$171-SUM(AK$85:AK92)</f>
        <v>129564273.10981403</v>
      </c>
      <c r="S178" s="236">
        <f>S$171-SUM(AL$85:AL92)</f>
        <v>22000000</v>
      </c>
      <c r="T178" s="260">
        <f t="shared" si="180"/>
        <v>5575698108.3099165</v>
      </c>
    </row>
    <row r="179" spans="1:20">
      <c r="A179" s="225">
        <v>39467</v>
      </c>
      <c r="B179" s="75"/>
      <c r="C179" s="234">
        <f>C$171-SUM(V$85:V93)</f>
        <v>756922064.89128971</v>
      </c>
      <c r="D179" s="235">
        <f>D$171-SUM(W$85:W93)</f>
        <v>220879557.65810096</v>
      </c>
      <c r="E179" s="235">
        <f>E$171-SUM(X$85:X93)</f>
        <v>106906007.21000001</v>
      </c>
      <c r="F179" s="235">
        <f>F$171-SUM(Y$85:Y93)</f>
        <v>912866203.56387806</v>
      </c>
      <c r="G179" s="235">
        <f>G$171-SUM(Z$85:Z93)</f>
        <v>339351160.58096915</v>
      </c>
      <c r="H179" s="235">
        <f>H$171-SUM(AA$85:AA93)</f>
        <v>1222692036.645525</v>
      </c>
      <c r="I179" s="235">
        <f>I$171-SUM(AB$85:AB93)</f>
        <v>777792860.05158138</v>
      </c>
      <c r="J179" s="235">
        <f>J$171-SUM(AC$85:AC93)</f>
        <v>768500000</v>
      </c>
      <c r="K179" s="235">
        <f>K$171-SUM(AD$85:AD93)</f>
        <v>43290043.290043294</v>
      </c>
      <c r="L179" s="235">
        <f>L$171-SUM(AE$85:AE93)</f>
        <v>95018324.962671369</v>
      </c>
      <c r="M179" s="235">
        <f>M$171-SUM(AF$85:AF93)</f>
        <v>20000000</v>
      </c>
      <c r="N179" s="235">
        <f>N$171-SUM(AG$85:AG93)</f>
        <v>32719218.765730396</v>
      </c>
      <c r="O179" s="235">
        <f>O$171-SUM(AH$85:AH93)</f>
        <v>64544590.742500335</v>
      </c>
      <c r="P179" s="235">
        <f>P$171-SUM(AI$85:AI93)</f>
        <v>40000000</v>
      </c>
      <c r="Q179" s="235">
        <f>Q$171-SUM(AJ$85:AJ93)</f>
        <v>22651766.837813351</v>
      </c>
      <c r="R179" s="235">
        <f>R$171-SUM(AK$85:AK93)</f>
        <v>129564273.10981403</v>
      </c>
      <c r="S179" s="236">
        <f>S$171-SUM(AL$85:AL93)</f>
        <v>22000000</v>
      </c>
      <c r="T179" s="260">
        <f t="shared" si="180"/>
        <v>5575698108.3099165</v>
      </c>
    </row>
    <row r="180" spans="1:20">
      <c r="A180" s="225">
        <v>39498</v>
      </c>
      <c r="B180" s="75"/>
      <c r="C180" s="234">
        <f>C$171-SUM(V$85:V94)</f>
        <v>546008057.61128962</v>
      </c>
      <c r="D180" s="235">
        <f>D$171-SUM(W$85:W94)</f>
        <v>159332147.69810095</v>
      </c>
      <c r="E180" s="235">
        <f>E$171-SUM(X$85:X94)</f>
        <v>77116976.829999998</v>
      </c>
      <c r="F180" s="235">
        <f>F$171-SUM(Y$85:Y94)</f>
        <v>912866203.56387806</v>
      </c>
      <c r="G180" s="235">
        <f>G$171-SUM(Z$85:Z94)</f>
        <v>339351160.58096915</v>
      </c>
      <c r="H180" s="235">
        <f>H$171-SUM(AA$85:AA94)</f>
        <v>1222692036.645525</v>
      </c>
      <c r="I180" s="235">
        <f>I$171-SUM(AB$85:AB94)</f>
        <v>777792860.05158138</v>
      </c>
      <c r="J180" s="235">
        <f>J$171-SUM(AC$85:AC94)</f>
        <v>768500000</v>
      </c>
      <c r="K180" s="235">
        <f>K$171-SUM(AD$85:AD94)</f>
        <v>43290043.290043294</v>
      </c>
      <c r="L180" s="235">
        <f>L$171-SUM(AE$85:AE94)</f>
        <v>95018324.962671369</v>
      </c>
      <c r="M180" s="235">
        <f>M$171-SUM(AF$85:AF94)</f>
        <v>20000000</v>
      </c>
      <c r="N180" s="235">
        <f>N$171-SUM(AG$85:AG94)</f>
        <v>32719218.765730396</v>
      </c>
      <c r="O180" s="235">
        <f>O$171-SUM(AH$85:AH94)</f>
        <v>64544590.742500335</v>
      </c>
      <c r="P180" s="235">
        <f>P$171-SUM(AI$85:AI94)</f>
        <v>40000000</v>
      </c>
      <c r="Q180" s="235">
        <f>Q$171-SUM(AJ$85:AJ94)</f>
        <v>22651766.837813351</v>
      </c>
      <c r="R180" s="235">
        <f>R$171-SUM(AK$85:AK94)</f>
        <v>129564273.10981403</v>
      </c>
      <c r="S180" s="236">
        <f>S$171-SUM(AL$85:AL94)</f>
        <v>22000000</v>
      </c>
      <c r="T180" s="260">
        <f t="shared" si="180"/>
        <v>5273447660.6899166</v>
      </c>
    </row>
    <row r="181" spans="1:20">
      <c r="A181" s="225">
        <v>39527</v>
      </c>
      <c r="B181" s="75"/>
      <c r="C181" s="234">
        <f>C$171-SUM(V$85:V95)</f>
        <v>546008057.61128962</v>
      </c>
      <c r="D181" s="235">
        <f>D$171-SUM(W$85:W95)</f>
        <v>159332147.69810095</v>
      </c>
      <c r="E181" s="235">
        <f>E$171-SUM(X$85:X95)</f>
        <v>77116976.829999998</v>
      </c>
      <c r="F181" s="235">
        <f>F$171-SUM(Y$85:Y95)</f>
        <v>912866203.56387806</v>
      </c>
      <c r="G181" s="235">
        <f>G$171-SUM(Z$85:Z95)</f>
        <v>339351160.58096915</v>
      </c>
      <c r="H181" s="235">
        <f>H$171-SUM(AA$85:AA95)</f>
        <v>1222692036.645525</v>
      </c>
      <c r="I181" s="235">
        <f>I$171-SUM(AB$85:AB95)</f>
        <v>777792860.05158138</v>
      </c>
      <c r="J181" s="235">
        <f>J$171-SUM(AC$85:AC95)</f>
        <v>768500000</v>
      </c>
      <c r="K181" s="235">
        <f>K$171-SUM(AD$85:AD95)</f>
        <v>43290043.290043294</v>
      </c>
      <c r="L181" s="235">
        <f>L$171-SUM(AE$85:AE95)</f>
        <v>95018324.962671369</v>
      </c>
      <c r="M181" s="235">
        <f>M$171-SUM(AF$85:AF95)</f>
        <v>20000000</v>
      </c>
      <c r="N181" s="235">
        <f>N$171-SUM(AG$85:AG95)</f>
        <v>32719218.765730396</v>
      </c>
      <c r="O181" s="235">
        <f>O$171-SUM(AH$85:AH95)</f>
        <v>64544590.742500335</v>
      </c>
      <c r="P181" s="235">
        <f>P$171-SUM(AI$85:AI95)</f>
        <v>40000000</v>
      </c>
      <c r="Q181" s="235">
        <f>Q$171-SUM(AJ$85:AJ95)</f>
        <v>22651766.837813351</v>
      </c>
      <c r="R181" s="235">
        <f>R$171-SUM(AK$85:AK95)</f>
        <v>129564273.10981403</v>
      </c>
      <c r="S181" s="236">
        <f>S$171-SUM(AL$85:AL95)</f>
        <v>22000000</v>
      </c>
      <c r="T181" s="260">
        <f t="shared" si="180"/>
        <v>5273447660.6899166</v>
      </c>
    </row>
    <row r="182" spans="1:20">
      <c r="A182" s="225">
        <v>39558</v>
      </c>
      <c r="B182" s="75"/>
      <c r="C182" s="234">
        <f>C$171-SUM(V$85:V96)</f>
        <v>546008057.61128962</v>
      </c>
      <c r="D182" s="235">
        <f>D$171-SUM(W$85:W96)</f>
        <v>159332147.69810095</v>
      </c>
      <c r="E182" s="235">
        <f>E$171-SUM(X$85:X96)</f>
        <v>77116976.829999998</v>
      </c>
      <c r="F182" s="235">
        <f>F$171-SUM(Y$85:Y96)</f>
        <v>912866203.56387806</v>
      </c>
      <c r="G182" s="235">
        <f>G$171-SUM(Z$85:Z96)</f>
        <v>339351160.58096915</v>
      </c>
      <c r="H182" s="235">
        <f>H$171-SUM(AA$85:AA96)</f>
        <v>1222692036.645525</v>
      </c>
      <c r="I182" s="235">
        <f>I$171-SUM(AB$85:AB96)</f>
        <v>777792860.05158138</v>
      </c>
      <c r="J182" s="235">
        <f>J$171-SUM(AC$85:AC96)</f>
        <v>768500000</v>
      </c>
      <c r="K182" s="235">
        <f>K$171-SUM(AD$85:AD96)</f>
        <v>43290043.290043294</v>
      </c>
      <c r="L182" s="235">
        <f>L$171-SUM(AE$85:AE96)</f>
        <v>95018324.962671369</v>
      </c>
      <c r="M182" s="235">
        <f>M$171-SUM(AF$85:AF96)</f>
        <v>20000000</v>
      </c>
      <c r="N182" s="235">
        <f>N$171-SUM(AG$85:AG96)</f>
        <v>32719218.765730396</v>
      </c>
      <c r="O182" s="235">
        <f>O$171-SUM(AH$85:AH96)</f>
        <v>64544590.742500335</v>
      </c>
      <c r="P182" s="235">
        <f>P$171-SUM(AI$85:AI96)</f>
        <v>40000000</v>
      </c>
      <c r="Q182" s="235">
        <f>Q$171-SUM(AJ$85:AJ96)</f>
        <v>22651766.837813351</v>
      </c>
      <c r="R182" s="235">
        <f>R$171-SUM(AK$85:AK96)</f>
        <v>129564273.10981403</v>
      </c>
      <c r="S182" s="236">
        <f>S$171-SUM(AL$85:AL96)</f>
        <v>22000000</v>
      </c>
      <c r="T182" s="260">
        <f t="shared" si="180"/>
        <v>5273447660.6899166</v>
      </c>
    </row>
    <row r="183" spans="1:20">
      <c r="A183" s="225">
        <v>39588</v>
      </c>
      <c r="B183" s="75"/>
      <c r="C183" s="234">
        <f>C$171-SUM(V$85:V97)</f>
        <v>346537905.00128961</v>
      </c>
      <c r="D183" s="235">
        <f>D$171-SUM(W$85:W97)</f>
        <v>101124201.17810094</v>
      </c>
      <c r="E183" s="235">
        <f>E$171-SUM(X$85:X97)</f>
        <v>48944251.310000002</v>
      </c>
      <c r="F183" s="235">
        <f>F$171-SUM(Y$85:Y97)</f>
        <v>912866203.56387806</v>
      </c>
      <c r="G183" s="235">
        <f>G$171-SUM(Z$85:Z97)</f>
        <v>339351160.58096915</v>
      </c>
      <c r="H183" s="235">
        <f>H$171-SUM(AA$85:AA97)</f>
        <v>1222692036.645525</v>
      </c>
      <c r="I183" s="235">
        <f>I$171-SUM(AB$85:AB97)</f>
        <v>777792860.05158138</v>
      </c>
      <c r="J183" s="235">
        <f>J$171-SUM(AC$85:AC97)</f>
        <v>768500000</v>
      </c>
      <c r="K183" s="235">
        <f>K$171-SUM(AD$85:AD97)</f>
        <v>43290043.290043294</v>
      </c>
      <c r="L183" s="235">
        <f>L$171-SUM(AE$85:AE97)</f>
        <v>95018324.962671369</v>
      </c>
      <c r="M183" s="235">
        <f>M$171-SUM(AF$85:AF97)</f>
        <v>20000000</v>
      </c>
      <c r="N183" s="235">
        <f>N$171-SUM(AG$85:AG97)</f>
        <v>32719218.765730396</v>
      </c>
      <c r="O183" s="235">
        <f>O$171-SUM(AH$85:AH97)</f>
        <v>64544590.742500335</v>
      </c>
      <c r="P183" s="235">
        <f>P$171-SUM(AI$85:AI97)</f>
        <v>40000000</v>
      </c>
      <c r="Q183" s="235">
        <f>Q$171-SUM(AJ$85:AJ97)</f>
        <v>22651766.837813351</v>
      </c>
      <c r="R183" s="235">
        <f>R$171-SUM(AK$85:AK97)</f>
        <v>129564273.10981403</v>
      </c>
      <c r="S183" s="236">
        <f>S$171-SUM(AL$85:AL97)</f>
        <v>22000000</v>
      </c>
      <c r="T183" s="260">
        <f t="shared" si="180"/>
        <v>4987596836.039917</v>
      </c>
    </row>
    <row r="184" spans="1:20">
      <c r="A184" s="225">
        <v>39619</v>
      </c>
      <c r="B184" s="75"/>
      <c r="C184" s="234">
        <f>C$171-SUM(V$85:V98)</f>
        <v>346537905.00128961</v>
      </c>
      <c r="D184" s="235">
        <f>D$171-SUM(W$85:W98)</f>
        <v>101124201.17810094</v>
      </c>
      <c r="E184" s="235">
        <f>E$171-SUM(X$85:X98)</f>
        <v>48944251.310000002</v>
      </c>
      <c r="F184" s="235">
        <f>F$171-SUM(Y$85:Y98)</f>
        <v>912866203.56387806</v>
      </c>
      <c r="G184" s="235">
        <f>G$171-SUM(Z$85:Z98)</f>
        <v>339351160.58096915</v>
      </c>
      <c r="H184" s="235">
        <f>H$171-SUM(AA$85:AA98)</f>
        <v>1222692036.645525</v>
      </c>
      <c r="I184" s="235">
        <f>I$171-SUM(AB$85:AB98)</f>
        <v>777792860.05158138</v>
      </c>
      <c r="J184" s="235">
        <f>J$171-SUM(AC$85:AC98)</f>
        <v>768500000</v>
      </c>
      <c r="K184" s="235">
        <f>K$171-SUM(AD$85:AD98)</f>
        <v>43290043.290043294</v>
      </c>
      <c r="L184" s="235">
        <f>L$171-SUM(AE$85:AE98)</f>
        <v>95018324.962671369</v>
      </c>
      <c r="M184" s="235">
        <f>M$171-SUM(AF$85:AF98)</f>
        <v>20000000</v>
      </c>
      <c r="N184" s="235">
        <f>N$171-SUM(AG$85:AG98)</f>
        <v>32719218.765730396</v>
      </c>
      <c r="O184" s="235">
        <f>O$171-SUM(AH$85:AH98)</f>
        <v>64544590.742500335</v>
      </c>
      <c r="P184" s="235">
        <f>P$171-SUM(AI$85:AI98)</f>
        <v>40000000</v>
      </c>
      <c r="Q184" s="235">
        <f>Q$171-SUM(AJ$85:AJ98)</f>
        <v>22651766.837813351</v>
      </c>
      <c r="R184" s="235">
        <f>R$171-SUM(AK$85:AK98)</f>
        <v>129564273.10981403</v>
      </c>
      <c r="S184" s="236">
        <f>S$171-SUM(AL$85:AL98)</f>
        <v>22000000</v>
      </c>
      <c r="T184" s="260">
        <f t="shared" si="180"/>
        <v>4987596836.039917</v>
      </c>
    </row>
    <row r="185" spans="1:20">
      <c r="A185" s="225">
        <v>39649</v>
      </c>
      <c r="B185" s="75"/>
      <c r="C185" s="234">
        <f>C$171-SUM(V$85:V99)</f>
        <v>346537905.00128961</v>
      </c>
      <c r="D185" s="235">
        <f>D$171-SUM(W$85:W99)</f>
        <v>101124201.17810094</v>
      </c>
      <c r="E185" s="235">
        <f>E$171-SUM(X$85:X99)</f>
        <v>48944251.310000002</v>
      </c>
      <c r="F185" s="235">
        <f>F$171-SUM(Y$85:Y99)</f>
        <v>912866203.56387806</v>
      </c>
      <c r="G185" s="235">
        <f>G$171-SUM(Z$85:Z99)</f>
        <v>339351160.58096915</v>
      </c>
      <c r="H185" s="235">
        <f>H$171-SUM(AA$85:AA99)</f>
        <v>1222692036.645525</v>
      </c>
      <c r="I185" s="235">
        <f>I$171-SUM(AB$85:AB99)</f>
        <v>777792860.05158138</v>
      </c>
      <c r="J185" s="235">
        <f>J$171-SUM(AC$85:AC99)</f>
        <v>768500000</v>
      </c>
      <c r="K185" s="235">
        <f>K$171-SUM(AD$85:AD99)</f>
        <v>43290043.290043294</v>
      </c>
      <c r="L185" s="235">
        <f>L$171-SUM(AE$85:AE99)</f>
        <v>95018324.962671369</v>
      </c>
      <c r="M185" s="235">
        <f>M$171-SUM(AF$85:AF99)</f>
        <v>20000000</v>
      </c>
      <c r="N185" s="235">
        <f>N$171-SUM(AG$85:AG99)</f>
        <v>32719218.765730396</v>
      </c>
      <c r="O185" s="235">
        <f>O$171-SUM(AH$85:AH99)</f>
        <v>64544590.742500335</v>
      </c>
      <c r="P185" s="235">
        <f>P$171-SUM(AI$85:AI99)</f>
        <v>40000000</v>
      </c>
      <c r="Q185" s="235">
        <f>Q$171-SUM(AJ$85:AJ99)</f>
        <v>22651766.837813351</v>
      </c>
      <c r="R185" s="235">
        <f>R$171-SUM(AK$85:AK99)</f>
        <v>129564273.10981403</v>
      </c>
      <c r="S185" s="236">
        <f>S$171-SUM(AL$85:AL99)</f>
        <v>22000000</v>
      </c>
      <c r="T185" s="260">
        <f t="shared" si="180"/>
        <v>4987596836.039917</v>
      </c>
    </row>
    <row r="186" spans="1:20">
      <c r="A186" s="225">
        <v>39680</v>
      </c>
      <c r="B186" s="75"/>
      <c r="C186" s="234">
        <f>C$171-SUM(V$85:V100)</f>
        <v>157890681.93128967</v>
      </c>
      <c r="D186" s="235">
        <f>D$171-SUM(W$85:W100)</f>
        <v>46074524.178100944</v>
      </c>
      <c r="E186" s="235">
        <f>E$171-SUM(X$85:X100)</f>
        <v>22300132.549999997</v>
      </c>
      <c r="F186" s="235">
        <f>F$171-SUM(Y$85:Y100)</f>
        <v>912866203.56387806</v>
      </c>
      <c r="G186" s="235">
        <f>G$171-SUM(Z$85:Z100)</f>
        <v>339351160.58096915</v>
      </c>
      <c r="H186" s="235">
        <f>H$171-SUM(AA$85:AA100)</f>
        <v>1222692036.645525</v>
      </c>
      <c r="I186" s="235">
        <f>I$171-SUM(AB$85:AB100)</f>
        <v>777792860.05158138</v>
      </c>
      <c r="J186" s="235">
        <f>J$171-SUM(AC$85:AC100)</f>
        <v>768500000</v>
      </c>
      <c r="K186" s="235">
        <f>K$171-SUM(AD$85:AD100)</f>
        <v>43290043.290043294</v>
      </c>
      <c r="L186" s="235">
        <f>L$171-SUM(AE$85:AE100)</f>
        <v>95018324.962671369</v>
      </c>
      <c r="M186" s="235">
        <f>M$171-SUM(AF$85:AF100)</f>
        <v>20000000</v>
      </c>
      <c r="N186" s="235">
        <f>N$171-SUM(AG$85:AG100)</f>
        <v>32719218.765730396</v>
      </c>
      <c r="O186" s="235">
        <f>O$171-SUM(AH$85:AH100)</f>
        <v>64544590.742500335</v>
      </c>
      <c r="P186" s="235">
        <f>P$171-SUM(AI$85:AI100)</f>
        <v>40000000</v>
      </c>
      <c r="Q186" s="235">
        <f>Q$171-SUM(AJ$85:AJ100)</f>
        <v>22651766.837813351</v>
      </c>
      <c r="R186" s="235">
        <f>R$171-SUM(AK$85:AK100)</f>
        <v>129564273.10981403</v>
      </c>
      <c r="S186" s="236">
        <f>S$171-SUM(AL$85:AL100)</f>
        <v>22000000</v>
      </c>
      <c r="T186" s="260">
        <f t="shared" si="180"/>
        <v>4717255817.2099171</v>
      </c>
    </row>
    <row r="187" spans="1:20">
      <c r="A187" s="225">
        <v>39711</v>
      </c>
      <c r="B187" s="75"/>
      <c r="C187" s="234">
        <f>C$171-SUM(V$85:V101)</f>
        <v>157890681.93128967</v>
      </c>
      <c r="D187" s="235">
        <f>D$171-SUM(W$85:W101)</f>
        <v>46074524.178100944</v>
      </c>
      <c r="E187" s="235">
        <f>E$171-SUM(X$85:X101)</f>
        <v>22300132.549999997</v>
      </c>
      <c r="F187" s="235">
        <f>F$171-SUM(Y$85:Y101)</f>
        <v>912866203.56387806</v>
      </c>
      <c r="G187" s="235">
        <f>G$171-SUM(Z$85:Z101)</f>
        <v>339351160.58096915</v>
      </c>
      <c r="H187" s="235">
        <f>H$171-SUM(AA$85:AA101)</f>
        <v>1222692036.645525</v>
      </c>
      <c r="I187" s="235">
        <f>I$171-SUM(AB$85:AB101)</f>
        <v>777792860.05158138</v>
      </c>
      <c r="J187" s="235">
        <f>J$171-SUM(AC$85:AC101)</f>
        <v>768500000</v>
      </c>
      <c r="K187" s="235">
        <f>K$171-SUM(AD$85:AD101)</f>
        <v>43290043.290043294</v>
      </c>
      <c r="L187" s="235">
        <f>L$171-SUM(AE$85:AE101)</f>
        <v>95018324.962671369</v>
      </c>
      <c r="M187" s="235">
        <f>M$171-SUM(AF$85:AF101)</f>
        <v>20000000</v>
      </c>
      <c r="N187" s="235">
        <f>N$171-SUM(AG$85:AG101)</f>
        <v>32719218.765730396</v>
      </c>
      <c r="O187" s="235">
        <f>O$171-SUM(AH$85:AH101)</f>
        <v>64544590.742500335</v>
      </c>
      <c r="P187" s="235">
        <f>P$171-SUM(AI$85:AI101)</f>
        <v>40000000</v>
      </c>
      <c r="Q187" s="235">
        <f>Q$171-SUM(AJ$85:AJ101)</f>
        <v>22651766.837813351</v>
      </c>
      <c r="R187" s="235">
        <f>R$171-SUM(AK$85:AK101)</f>
        <v>129564273.10981403</v>
      </c>
      <c r="S187" s="236">
        <f>S$171-SUM(AL$85:AL101)</f>
        <v>22000000</v>
      </c>
      <c r="T187" s="260">
        <f t="shared" si="180"/>
        <v>4717255817.2099171</v>
      </c>
    </row>
    <row r="188" spans="1:20">
      <c r="A188" s="225">
        <v>39741</v>
      </c>
      <c r="B188" s="75"/>
      <c r="C188" s="234">
        <f>C$171-SUM(V$85:V102)</f>
        <v>157890681.93128967</v>
      </c>
      <c r="D188" s="235">
        <f>D$171-SUM(W$85:W102)</f>
        <v>46074524.178100944</v>
      </c>
      <c r="E188" s="235">
        <f>E$171-SUM(X$85:X102)</f>
        <v>22300132.549999997</v>
      </c>
      <c r="F188" s="235">
        <f>F$171-SUM(Y$85:Y102)</f>
        <v>912866203.56387806</v>
      </c>
      <c r="G188" s="235">
        <f>G$171-SUM(Z$85:Z102)</f>
        <v>339351160.58096915</v>
      </c>
      <c r="H188" s="235">
        <f>H$171-SUM(AA$85:AA102)</f>
        <v>1222692036.645525</v>
      </c>
      <c r="I188" s="235">
        <f>I$171-SUM(AB$85:AB102)</f>
        <v>777792860.05158138</v>
      </c>
      <c r="J188" s="235">
        <f>J$171-SUM(AC$85:AC102)</f>
        <v>768500000</v>
      </c>
      <c r="K188" s="235">
        <f>K$171-SUM(AD$85:AD102)</f>
        <v>43290043.290043294</v>
      </c>
      <c r="L188" s="235">
        <f>L$171-SUM(AE$85:AE102)</f>
        <v>95018324.962671369</v>
      </c>
      <c r="M188" s="235">
        <f>M$171-SUM(AF$85:AF102)</f>
        <v>20000000</v>
      </c>
      <c r="N188" s="235">
        <f>N$171-SUM(AG$85:AG102)</f>
        <v>32719218.765730396</v>
      </c>
      <c r="O188" s="235">
        <f>O$171-SUM(AH$85:AH102)</f>
        <v>64544590.742500335</v>
      </c>
      <c r="P188" s="235">
        <f>P$171-SUM(AI$85:AI102)</f>
        <v>40000000</v>
      </c>
      <c r="Q188" s="235">
        <f>Q$171-SUM(AJ$85:AJ102)</f>
        <v>22651766.837813351</v>
      </c>
      <c r="R188" s="235">
        <f>R$171-SUM(AK$85:AK102)</f>
        <v>129564273.10981403</v>
      </c>
      <c r="S188" s="236">
        <f>S$171-SUM(AL$85:AL102)</f>
        <v>22000000</v>
      </c>
      <c r="T188" s="260">
        <f t="shared" si="180"/>
        <v>4717255817.2099171</v>
      </c>
    </row>
    <row r="189" spans="1:20">
      <c r="A189" s="225">
        <v>39772</v>
      </c>
      <c r="B189" s="75"/>
      <c r="C189" s="234">
        <f>C$171-SUM(V$85:V103)</f>
        <v>1.2896060943603516E-3</v>
      </c>
      <c r="D189" s="235">
        <f>D$171-SUM(W$85:W103)</f>
        <v>-1.8990635871887207E-3</v>
      </c>
      <c r="E189" s="235">
        <f>E$171-SUM(X$85:X103)</f>
        <v>-9.9999904632568359E-3</v>
      </c>
      <c r="F189" s="235">
        <f>F$171-SUM(Y$85:Y103)</f>
        <v>912866203.56387806</v>
      </c>
      <c r="G189" s="235">
        <f>G$171-SUM(Z$85:Z103)</f>
        <v>339351160.58096915</v>
      </c>
      <c r="H189" s="235">
        <f>H$171-SUM(AA$85:AA103)</f>
        <v>1222692036.645525</v>
      </c>
      <c r="I189" s="235">
        <f>I$171-SUM(AB$85:AB103)</f>
        <v>777792860.05158138</v>
      </c>
      <c r="J189" s="235">
        <f>J$171-SUM(AC$85:AC103)</f>
        <v>768500000</v>
      </c>
      <c r="K189" s="235">
        <f>K$171-SUM(AD$85:AD103)</f>
        <v>27528038.680043295</v>
      </c>
      <c r="L189" s="235">
        <f>L$171-SUM(AE$85:AE103)</f>
        <v>95018324.962671369</v>
      </c>
      <c r="M189" s="235">
        <f>M$171-SUM(AF$85:AF103)</f>
        <v>20000000</v>
      </c>
      <c r="N189" s="235">
        <f>N$171-SUM(AG$85:AG103)</f>
        <v>20806075.745730396</v>
      </c>
      <c r="O189" s="235">
        <f>O$171-SUM(AH$85:AH103)</f>
        <v>64544590.742500335</v>
      </c>
      <c r="P189" s="235">
        <f>P$171-SUM(AI$85:AI103)</f>
        <v>40000000</v>
      </c>
      <c r="Q189" s="235">
        <f>Q$171-SUM(AJ$85:AJ103)</f>
        <v>22651766.837813351</v>
      </c>
      <c r="R189" s="235">
        <f>R$171-SUM(AK$85:AK103)</f>
        <v>129564273.10981403</v>
      </c>
      <c r="S189" s="236">
        <f>S$171-SUM(AL$85:AL103)</f>
        <v>22000000</v>
      </c>
      <c r="T189" s="260">
        <f t="shared" si="180"/>
        <v>4463315330.9099159</v>
      </c>
    </row>
    <row r="190" spans="1:20">
      <c r="A190" s="225">
        <v>39802</v>
      </c>
      <c r="B190" s="75"/>
      <c r="C190" s="234">
        <f>C$171-SUM(V$85:V104)</f>
        <v>1.2896060943603516E-3</v>
      </c>
      <c r="D190" s="235">
        <f>D$171-SUM(W$85:W104)</f>
        <v>-1.8990635871887207E-3</v>
      </c>
      <c r="E190" s="235">
        <f>E$171-SUM(X$85:X104)</f>
        <v>-9.9999904632568359E-3</v>
      </c>
      <c r="F190" s="235">
        <f>F$171-SUM(Y$85:Y104)</f>
        <v>912866203.56387806</v>
      </c>
      <c r="G190" s="235">
        <f>G$171-SUM(Z$85:Z104)</f>
        <v>339351160.58096915</v>
      </c>
      <c r="H190" s="235">
        <f>H$171-SUM(AA$85:AA104)</f>
        <v>1222692036.645525</v>
      </c>
      <c r="I190" s="235">
        <f>I$171-SUM(AB$85:AB104)</f>
        <v>777792860.05158138</v>
      </c>
      <c r="J190" s="235">
        <f>J$171-SUM(AC$85:AC104)</f>
        <v>768500000</v>
      </c>
      <c r="K190" s="235">
        <f>K$171-SUM(AD$85:AD104)</f>
        <v>27528038.680043295</v>
      </c>
      <c r="L190" s="235">
        <f>L$171-SUM(AE$85:AE104)</f>
        <v>95018324.962671369</v>
      </c>
      <c r="M190" s="235">
        <f>M$171-SUM(AF$85:AF104)</f>
        <v>20000000</v>
      </c>
      <c r="N190" s="235">
        <f>N$171-SUM(AG$85:AG104)</f>
        <v>20806075.745730396</v>
      </c>
      <c r="O190" s="235">
        <f>O$171-SUM(AH$85:AH104)</f>
        <v>64544590.742500335</v>
      </c>
      <c r="P190" s="235">
        <f>P$171-SUM(AI$85:AI104)</f>
        <v>40000000</v>
      </c>
      <c r="Q190" s="235">
        <f>Q$171-SUM(AJ$85:AJ104)</f>
        <v>22651766.837813351</v>
      </c>
      <c r="R190" s="235">
        <f>R$171-SUM(AK$85:AK104)</f>
        <v>129564273.10981403</v>
      </c>
      <c r="S190" s="236">
        <f>S$171-SUM(AL$85:AL104)</f>
        <v>22000000</v>
      </c>
      <c r="T190" s="260">
        <f t="shared" si="180"/>
        <v>4463315330.9099159</v>
      </c>
    </row>
    <row r="191" spans="1:20">
      <c r="A191" s="225">
        <v>39833</v>
      </c>
      <c r="B191" s="75"/>
      <c r="C191" s="234">
        <f>C$171-SUM(V$85:V105)</f>
        <v>1.2896060943603516E-3</v>
      </c>
      <c r="D191" s="235">
        <f>D$171-SUM(W$85:W105)</f>
        <v>-1.8990635871887207E-3</v>
      </c>
      <c r="E191" s="235">
        <f>E$171-SUM(X$85:X105)</f>
        <v>-9.9999904632568359E-3</v>
      </c>
      <c r="F191" s="235">
        <f>F$171-SUM(Y$85:Y105)</f>
        <v>912866203.56387806</v>
      </c>
      <c r="G191" s="235">
        <f>G$171-SUM(Z$85:Z105)</f>
        <v>339351160.58096915</v>
      </c>
      <c r="H191" s="235">
        <f>H$171-SUM(AA$85:AA105)</f>
        <v>1222692036.645525</v>
      </c>
      <c r="I191" s="235">
        <f>I$171-SUM(AB$85:AB105)</f>
        <v>777792860.05158138</v>
      </c>
      <c r="J191" s="235">
        <f>J$171-SUM(AC$85:AC105)</f>
        <v>768500000</v>
      </c>
      <c r="K191" s="235">
        <f>K$171-SUM(AD$85:AD105)</f>
        <v>27528038.680043295</v>
      </c>
      <c r="L191" s="235">
        <f>L$171-SUM(AE$85:AE105)</f>
        <v>95018324.962671369</v>
      </c>
      <c r="M191" s="235">
        <f>M$171-SUM(AF$85:AF105)</f>
        <v>20000000</v>
      </c>
      <c r="N191" s="235">
        <f>N$171-SUM(AG$85:AG105)</f>
        <v>20806075.745730396</v>
      </c>
      <c r="O191" s="235">
        <f>O$171-SUM(AH$85:AH105)</f>
        <v>64544590.742500335</v>
      </c>
      <c r="P191" s="235">
        <f>P$171-SUM(AI$85:AI105)</f>
        <v>40000000</v>
      </c>
      <c r="Q191" s="235">
        <f>Q$171-SUM(AJ$85:AJ105)</f>
        <v>22651766.837813351</v>
      </c>
      <c r="R191" s="235">
        <f>R$171-SUM(AK$85:AK105)</f>
        <v>129564273.10981403</v>
      </c>
      <c r="S191" s="236">
        <f>S$171-SUM(AL$85:AL105)</f>
        <v>22000000</v>
      </c>
      <c r="T191" s="260">
        <f t="shared" si="180"/>
        <v>4463315330.9099159</v>
      </c>
    </row>
    <row r="192" spans="1:20">
      <c r="A192" s="225">
        <v>39864</v>
      </c>
      <c r="B192" s="75"/>
      <c r="C192" s="234">
        <f>C$171-SUM(V$85:V106)</f>
        <v>1.2896060943603516E-3</v>
      </c>
      <c r="D192" s="235">
        <f>D$171-SUM(W$85:W106)</f>
        <v>-1.8990635871887207E-3</v>
      </c>
      <c r="E192" s="235">
        <f>E$171-SUM(X$85:X106)</f>
        <v>-9.9999904632568359E-3</v>
      </c>
      <c r="F192" s="235">
        <f>F$171-SUM(Y$85:Y106)</f>
        <v>773944324.11387801</v>
      </c>
      <c r="G192" s="235">
        <f>G$171-SUM(Z$85:Z106)</f>
        <v>287707994.43096918</v>
      </c>
      <c r="H192" s="235">
        <f>H$171-SUM(AA$85:AA106)</f>
        <v>1222692036.645525</v>
      </c>
      <c r="I192" s="235">
        <f>I$171-SUM(AB$85:AB106)</f>
        <v>777792860.05158138</v>
      </c>
      <c r="J192" s="235">
        <f>J$171-SUM(AC$85:AC106)</f>
        <v>768500000</v>
      </c>
      <c r="K192" s="235">
        <f>K$171-SUM(AD$85:AD106)</f>
        <v>4.3295323848724365E-5</v>
      </c>
      <c r="L192" s="235">
        <f>L$171-SUM(AE$85:AE106)</f>
        <v>95018324.962671369</v>
      </c>
      <c r="M192" s="235">
        <f>M$171-SUM(AF$85:AF106)</f>
        <v>20000000</v>
      </c>
      <c r="N192" s="235">
        <f>N$171-SUM(AG$85:AG106)</f>
        <v>-4.2696036398410797E-3</v>
      </c>
      <c r="O192" s="235">
        <f>O$171-SUM(AH$85:AH106)</f>
        <v>64544590.742500335</v>
      </c>
      <c r="P192" s="235">
        <f>P$171-SUM(AI$85:AI106)</f>
        <v>40000000</v>
      </c>
      <c r="Q192" s="235">
        <f>Q$171-SUM(AJ$85:AJ106)</f>
        <v>22651766.837813351</v>
      </c>
      <c r="R192" s="235">
        <f>R$171-SUM(AK$85:AK106)</f>
        <v>129564273.10981403</v>
      </c>
      <c r="S192" s="236">
        <f>S$171-SUM(AL$85:AL106)</f>
        <v>22000000</v>
      </c>
      <c r="T192" s="260">
        <f t="shared" si="180"/>
        <v>4224416170.8799171</v>
      </c>
    </row>
    <row r="193" spans="1:20">
      <c r="A193" s="225">
        <v>39892</v>
      </c>
      <c r="B193" s="75"/>
      <c r="C193" s="234">
        <f>C$171-SUM(V$85:V107)</f>
        <v>1.2896060943603516E-3</v>
      </c>
      <c r="D193" s="235">
        <f>D$171-SUM(W$85:W107)</f>
        <v>-1.8990635871887207E-3</v>
      </c>
      <c r="E193" s="235">
        <f>E$171-SUM(X$85:X107)</f>
        <v>-9.9999904632568359E-3</v>
      </c>
      <c r="F193" s="235">
        <f>F$171-SUM(Y$85:Y107)</f>
        <v>773944324.11387801</v>
      </c>
      <c r="G193" s="235">
        <f>G$171-SUM(Z$85:Z107)</f>
        <v>287707994.43096918</v>
      </c>
      <c r="H193" s="235">
        <f>H$171-SUM(AA$85:AA107)</f>
        <v>1222692036.645525</v>
      </c>
      <c r="I193" s="235">
        <f>I$171-SUM(AB$85:AB107)</f>
        <v>777792860.05158138</v>
      </c>
      <c r="J193" s="235">
        <f>J$171-SUM(AC$85:AC107)</f>
        <v>768500000</v>
      </c>
      <c r="K193" s="235">
        <f>K$171-SUM(AD$85:AD107)</f>
        <v>4.3295323848724365E-5</v>
      </c>
      <c r="L193" s="235">
        <f>L$171-SUM(AE$85:AE107)</f>
        <v>95018324.962671369</v>
      </c>
      <c r="M193" s="235">
        <f>M$171-SUM(AF$85:AF107)</f>
        <v>20000000</v>
      </c>
      <c r="N193" s="235">
        <f>N$171-SUM(AG$85:AG107)</f>
        <v>-4.2696036398410797E-3</v>
      </c>
      <c r="O193" s="235">
        <f>O$171-SUM(AH$85:AH107)</f>
        <v>64544590.742500335</v>
      </c>
      <c r="P193" s="235">
        <f>P$171-SUM(AI$85:AI107)</f>
        <v>40000000</v>
      </c>
      <c r="Q193" s="235">
        <f>Q$171-SUM(AJ$85:AJ107)</f>
        <v>22651766.837813351</v>
      </c>
      <c r="R193" s="235">
        <f>R$171-SUM(AK$85:AK107)</f>
        <v>129564273.10981403</v>
      </c>
      <c r="S193" s="236">
        <f>S$171-SUM(AL$85:AL107)</f>
        <v>22000000</v>
      </c>
      <c r="T193" s="260">
        <f t="shared" si="180"/>
        <v>4224416170.8799171</v>
      </c>
    </row>
    <row r="194" spans="1:20">
      <c r="A194" s="225">
        <v>39923</v>
      </c>
      <c r="B194" s="75"/>
      <c r="C194" s="234">
        <f>C$171-SUM(V$85:V108)</f>
        <v>1.2896060943603516E-3</v>
      </c>
      <c r="D194" s="235">
        <f>D$171-SUM(W$85:W108)</f>
        <v>-1.8990635871887207E-3</v>
      </c>
      <c r="E194" s="235">
        <f>E$171-SUM(X$85:X108)</f>
        <v>-9.9999904632568359E-3</v>
      </c>
      <c r="F194" s="235">
        <f>F$171-SUM(Y$85:Y108)</f>
        <v>773944324.11387801</v>
      </c>
      <c r="G194" s="235">
        <f>G$171-SUM(Z$85:Z108)</f>
        <v>287707994.43096918</v>
      </c>
      <c r="H194" s="235">
        <f>H$171-SUM(AA$85:AA108)</f>
        <v>1222692036.645525</v>
      </c>
      <c r="I194" s="235">
        <f>I$171-SUM(AB$85:AB108)</f>
        <v>777792860.05158138</v>
      </c>
      <c r="J194" s="235">
        <f>J$171-SUM(AC$85:AC108)</f>
        <v>768500000</v>
      </c>
      <c r="K194" s="235">
        <f>K$171-SUM(AD$85:AD108)</f>
        <v>4.3295323848724365E-5</v>
      </c>
      <c r="L194" s="235">
        <f>L$171-SUM(AE$85:AE108)</f>
        <v>95018324.962671369</v>
      </c>
      <c r="M194" s="235">
        <f>M$171-SUM(AF$85:AF108)</f>
        <v>20000000</v>
      </c>
      <c r="N194" s="235">
        <f>N$171-SUM(AG$85:AG108)</f>
        <v>-4.2696036398410797E-3</v>
      </c>
      <c r="O194" s="235">
        <f>O$171-SUM(AH$85:AH108)</f>
        <v>64544590.742500335</v>
      </c>
      <c r="P194" s="235">
        <f>P$171-SUM(AI$85:AI108)</f>
        <v>40000000</v>
      </c>
      <c r="Q194" s="235">
        <f>Q$171-SUM(AJ$85:AJ108)</f>
        <v>22651766.837813351</v>
      </c>
      <c r="R194" s="235">
        <f>R$171-SUM(AK$85:AK108)</f>
        <v>129564273.10981403</v>
      </c>
      <c r="S194" s="236">
        <f>S$171-SUM(AL$85:AL108)</f>
        <v>22000000</v>
      </c>
      <c r="T194" s="260">
        <f t="shared" si="180"/>
        <v>4224416170.8799171</v>
      </c>
    </row>
    <row r="195" spans="1:20">
      <c r="A195" s="225">
        <v>39953</v>
      </c>
      <c r="B195" s="75"/>
      <c r="C195" s="234">
        <f>C$171-SUM(V$85:V109)</f>
        <v>1.2896060943603516E-3</v>
      </c>
      <c r="D195" s="235">
        <f>D$171-SUM(W$85:W109)</f>
        <v>-1.8990635871887207E-3</v>
      </c>
      <c r="E195" s="235">
        <f>E$171-SUM(X$85:X109)</f>
        <v>-9.9999904632568359E-3</v>
      </c>
      <c r="F195" s="235">
        <f>F$171-SUM(Y$85:Y109)</f>
        <v>607127475.98387814</v>
      </c>
      <c r="G195" s="235">
        <f>G$171-SUM(Z$85:Z109)</f>
        <v>225695083.01096916</v>
      </c>
      <c r="H195" s="235">
        <f>H$171-SUM(AA$85:AA109)</f>
        <v>1222692036.645525</v>
      </c>
      <c r="I195" s="235">
        <f>I$171-SUM(AB$85:AB109)</f>
        <v>777792860.05158138</v>
      </c>
      <c r="J195" s="235">
        <f>J$171-SUM(AC$85:AC109)</f>
        <v>768500000</v>
      </c>
      <c r="K195" s="235">
        <f>K$171-SUM(AD$85:AD109)</f>
        <v>4.3295323848724365E-5</v>
      </c>
      <c r="L195" s="235">
        <f>L$171-SUM(AE$85:AE109)</f>
        <v>95018324.962671369</v>
      </c>
      <c r="M195" s="235">
        <f>M$171-SUM(AF$85:AF109)</f>
        <v>20000000</v>
      </c>
      <c r="N195" s="235">
        <f>N$171-SUM(AG$85:AG109)</f>
        <v>-4.2696036398410797E-3</v>
      </c>
      <c r="O195" s="235">
        <f>O$171-SUM(AH$85:AH109)</f>
        <v>64544590.742500335</v>
      </c>
      <c r="P195" s="235">
        <f>P$171-SUM(AI$85:AI109)</f>
        <v>40000000</v>
      </c>
      <c r="Q195" s="235">
        <f>Q$171-SUM(AJ$85:AJ109)</f>
        <v>22651766.837813351</v>
      </c>
      <c r="R195" s="235">
        <f>R$171-SUM(AK$85:AK109)</f>
        <v>129564273.10981403</v>
      </c>
      <c r="S195" s="236">
        <f>S$171-SUM(AL$85:AL109)</f>
        <v>22000000</v>
      </c>
      <c r="T195" s="260">
        <f t="shared" si="180"/>
        <v>3995586411.329917</v>
      </c>
    </row>
    <row r="196" spans="1:20">
      <c r="A196" s="225">
        <v>39984</v>
      </c>
      <c r="B196" s="75"/>
      <c r="C196" s="234">
        <f>C$171-SUM(V$85:V110)</f>
        <v>1.2896060943603516E-3</v>
      </c>
      <c r="D196" s="235">
        <f>D$171-SUM(W$85:W110)</f>
        <v>-1.8990635871887207E-3</v>
      </c>
      <c r="E196" s="235">
        <f>E$171-SUM(X$85:X110)</f>
        <v>-9.9999904632568359E-3</v>
      </c>
      <c r="F196" s="235">
        <f>F$171-SUM(Y$85:Y110)</f>
        <v>607127475.98387814</v>
      </c>
      <c r="G196" s="235">
        <f>G$171-SUM(Z$85:Z110)</f>
        <v>225695083.01096916</v>
      </c>
      <c r="H196" s="235">
        <f>H$171-SUM(AA$85:AA110)</f>
        <v>1222692036.645525</v>
      </c>
      <c r="I196" s="235">
        <f>I$171-SUM(AB$85:AB110)</f>
        <v>777792860.05158138</v>
      </c>
      <c r="J196" s="235">
        <f>J$171-SUM(AC$85:AC110)</f>
        <v>768500000</v>
      </c>
      <c r="K196" s="235">
        <f>K$171-SUM(AD$85:AD110)</f>
        <v>4.3295323848724365E-5</v>
      </c>
      <c r="L196" s="235">
        <f>L$171-SUM(AE$85:AE110)</f>
        <v>95018324.962671369</v>
      </c>
      <c r="M196" s="235">
        <f>M$171-SUM(AF$85:AF110)</f>
        <v>20000000</v>
      </c>
      <c r="N196" s="235">
        <f>N$171-SUM(AG$85:AG110)</f>
        <v>-4.2696036398410797E-3</v>
      </c>
      <c r="O196" s="235">
        <f>O$171-SUM(AH$85:AH110)</f>
        <v>64544590.742500335</v>
      </c>
      <c r="P196" s="235">
        <f>P$171-SUM(AI$85:AI110)</f>
        <v>40000000</v>
      </c>
      <c r="Q196" s="235">
        <f>Q$171-SUM(AJ$85:AJ110)</f>
        <v>22651766.837813351</v>
      </c>
      <c r="R196" s="235">
        <f>R$171-SUM(AK$85:AK110)</f>
        <v>129564273.10981403</v>
      </c>
      <c r="S196" s="236">
        <f>S$171-SUM(AL$85:AL110)</f>
        <v>22000000</v>
      </c>
      <c r="T196" s="260">
        <f t="shared" si="180"/>
        <v>3995586411.329917</v>
      </c>
    </row>
    <row r="197" spans="1:20">
      <c r="A197" s="225">
        <v>40014</v>
      </c>
      <c r="B197" s="75"/>
      <c r="C197" s="234">
        <f>C$171-SUM(V$85:V111)</f>
        <v>1.2896060943603516E-3</v>
      </c>
      <c r="D197" s="235">
        <f>D$171-SUM(W$85:W111)</f>
        <v>-1.8990635871887207E-3</v>
      </c>
      <c r="E197" s="235">
        <f>E$171-SUM(X$85:X111)</f>
        <v>-9.9999904632568359E-3</v>
      </c>
      <c r="F197" s="235">
        <f>F$171-SUM(Y$85:Y111)</f>
        <v>607127475.98387814</v>
      </c>
      <c r="G197" s="235">
        <f>G$171-SUM(Z$85:Z111)</f>
        <v>225695083.01096916</v>
      </c>
      <c r="H197" s="235">
        <f>H$171-SUM(AA$85:AA111)</f>
        <v>1222692036.645525</v>
      </c>
      <c r="I197" s="235">
        <f>I$171-SUM(AB$85:AB111)</f>
        <v>777792860.05158138</v>
      </c>
      <c r="J197" s="235">
        <f>J$171-SUM(AC$85:AC111)</f>
        <v>768500000</v>
      </c>
      <c r="K197" s="235">
        <f>K$171-SUM(AD$85:AD111)</f>
        <v>4.3295323848724365E-5</v>
      </c>
      <c r="L197" s="235">
        <f>L$171-SUM(AE$85:AE111)</f>
        <v>95018324.962671369</v>
      </c>
      <c r="M197" s="235">
        <f>M$171-SUM(AF$85:AF111)</f>
        <v>20000000</v>
      </c>
      <c r="N197" s="235">
        <f>N$171-SUM(AG$85:AG111)</f>
        <v>-4.2696036398410797E-3</v>
      </c>
      <c r="O197" s="235">
        <f>O$171-SUM(AH$85:AH111)</f>
        <v>64544590.742500335</v>
      </c>
      <c r="P197" s="235">
        <f>P$171-SUM(AI$85:AI111)</f>
        <v>40000000</v>
      </c>
      <c r="Q197" s="235">
        <f>Q$171-SUM(AJ$85:AJ111)</f>
        <v>22651766.837813351</v>
      </c>
      <c r="R197" s="235">
        <f>R$171-SUM(AK$85:AK111)</f>
        <v>129564273.10981403</v>
      </c>
      <c r="S197" s="236">
        <f>S$171-SUM(AL$85:AL111)</f>
        <v>22000000</v>
      </c>
      <c r="T197" s="260">
        <f t="shared" si="180"/>
        <v>3995586411.329917</v>
      </c>
    </row>
    <row r="198" spans="1:20">
      <c r="A198" s="225">
        <v>40045</v>
      </c>
      <c r="B198" s="75"/>
      <c r="C198" s="234">
        <f>C$171-SUM(V$85:V112)</f>
        <v>1.2896060943603516E-3</v>
      </c>
      <c r="D198" s="235">
        <f>D$171-SUM(W$85:W112)</f>
        <v>-1.8990635871887207E-3</v>
      </c>
      <c r="E198" s="235">
        <f>E$171-SUM(X$85:X112)</f>
        <v>-9.9999904632568359E-3</v>
      </c>
      <c r="F198" s="235">
        <f>F$171-SUM(Y$85:Y112)</f>
        <v>449361841.62387806</v>
      </c>
      <c r="G198" s="235">
        <f>G$171-SUM(Z$85:Z112)</f>
        <v>167046892.39096916</v>
      </c>
      <c r="H198" s="235">
        <f>H$171-SUM(AA$85:AA112)</f>
        <v>1222692036.645525</v>
      </c>
      <c r="I198" s="235">
        <f>I$171-SUM(AB$85:AB112)</f>
        <v>777792860.05158138</v>
      </c>
      <c r="J198" s="235">
        <f>J$171-SUM(AC$85:AC112)</f>
        <v>768500000</v>
      </c>
      <c r="K198" s="235">
        <f>K$171-SUM(AD$85:AD112)</f>
        <v>4.3295323848724365E-5</v>
      </c>
      <c r="L198" s="235">
        <f>L$171-SUM(AE$85:AE112)</f>
        <v>95018324.962671369</v>
      </c>
      <c r="M198" s="235">
        <f>M$171-SUM(AF$85:AF112)</f>
        <v>20000000</v>
      </c>
      <c r="N198" s="235">
        <f>N$171-SUM(AG$85:AG112)</f>
        <v>-4.2696036398410797E-3</v>
      </c>
      <c r="O198" s="235">
        <f>O$171-SUM(AH$85:AH112)</f>
        <v>64544590.742500335</v>
      </c>
      <c r="P198" s="235">
        <f>P$171-SUM(AI$85:AI112)</f>
        <v>40000000</v>
      </c>
      <c r="Q198" s="235">
        <f>Q$171-SUM(AJ$85:AJ112)</f>
        <v>22651766.837813351</v>
      </c>
      <c r="R198" s="235">
        <f>R$171-SUM(AK$85:AK112)</f>
        <v>129564273.10981403</v>
      </c>
      <c r="S198" s="236">
        <f>S$171-SUM(AL$85:AL112)</f>
        <v>22000000</v>
      </c>
      <c r="T198" s="260">
        <f t="shared" si="180"/>
        <v>3779172586.3499169</v>
      </c>
    </row>
    <row r="199" spans="1:20">
      <c r="A199" s="225">
        <v>40076</v>
      </c>
      <c r="B199" s="75"/>
      <c r="C199" s="234">
        <f>C$171-SUM(V$85:V113)</f>
        <v>1.2896060943603516E-3</v>
      </c>
      <c r="D199" s="235">
        <f>D$171-SUM(W$85:W113)</f>
        <v>-1.8990635871887207E-3</v>
      </c>
      <c r="E199" s="235">
        <f>E$171-SUM(X$85:X113)</f>
        <v>-9.9999904632568359E-3</v>
      </c>
      <c r="F199" s="235">
        <f>F$171-SUM(Y$85:Y113)</f>
        <v>449361841.62387806</v>
      </c>
      <c r="G199" s="235">
        <f>G$171-SUM(Z$85:Z113)</f>
        <v>167046892.39096916</v>
      </c>
      <c r="H199" s="235">
        <f>H$171-SUM(AA$85:AA113)</f>
        <v>1222692036.645525</v>
      </c>
      <c r="I199" s="235">
        <f>I$171-SUM(AB$85:AB113)</f>
        <v>777792860.05158138</v>
      </c>
      <c r="J199" s="235">
        <f>J$171-SUM(AC$85:AC113)</f>
        <v>768500000</v>
      </c>
      <c r="K199" s="235">
        <f>K$171-SUM(AD$85:AD113)</f>
        <v>4.3295323848724365E-5</v>
      </c>
      <c r="L199" s="235">
        <f>L$171-SUM(AE$85:AE113)</f>
        <v>95018324.962671369</v>
      </c>
      <c r="M199" s="235">
        <f>M$171-SUM(AF$85:AF113)</f>
        <v>20000000</v>
      </c>
      <c r="N199" s="235">
        <f>N$171-SUM(AG$85:AG113)</f>
        <v>-4.2696036398410797E-3</v>
      </c>
      <c r="O199" s="235">
        <f>O$171-SUM(AH$85:AH113)</f>
        <v>64544590.742500335</v>
      </c>
      <c r="P199" s="235">
        <f>P$171-SUM(AI$85:AI113)</f>
        <v>40000000</v>
      </c>
      <c r="Q199" s="235">
        <f>Q$171-SUM(AJ$85:AJ113)</f>
        <v>22651766.837813351</v>
      </c>
      <c r="R199" s="235">
        <f>R$171-SUM(AK$85:AK113)</f>
        <v>129564273.10981403</v>
      </c>
      <c r="S199" s="236">
        <f>S$171-SUM(AL$85:AL113)</f>
        <v>22000000</v>
      </c>
      <c r="T199" s="260">
        <f t="shared" si="180"/>
        <v>3779172586.3499169</v>
      </c>
    </row>
    <row r="200" spans="1:20">
      <c r="A200" s="225">
        <v>40106</v>
      </c>
      <c r="B200" s="75"/>
      <c r="C200" s="234">
        <f>C$171-SUM(V$85:V114)</f>
        <v>1.2896060943603516E-3</v>
      </c>
      <c r="D200" s="235">
        <f>D$171-SUM(W$85:W114)</f>
        <v>-1.8990635871887207E-3</v>
      </c>
      <c r="E200" s="235">
        <f>E$171-SUM(X$85:X114)</f>
        <v>-9.9999904632568359E-3</v>
      </c>
      <c r="F200" s="235">
        <f>F$171-SUM(Y$85:Y114)</f>
        <v>449361841.62387806</v>
      </c>
      <c r="G200" s="235">
        <f>G$171-SUM(Z$85:Z114)</f>
        <v>167046892.39096916</v>
      </c>
      <c r="H200" s="235">
        <f>H$171-SUM(AA$85:AA114)</f>
        <v>1222692036.645525</v>
      </c>
      <c r="I200" s="235">
        <f>I$171-SUM(AB$85:AB114)</f>
        <v>777792860.05158138</v>
      </c>
      <c r="J200" s="235">
        <f>J$171-SUM(AC$85:AC114)</f>
        <v>768500000</v>
      </c>
      <c r="K200" s="235">
        <f>K$171-SUM(AD$85:AD114)</f>
        <v>4.3295323848724365E-5</v>
      </c>
      <c r="L200" s="235">
        <f>L$171-SUM(AE$85:AE114)</f>
        <v>95018324.962671369</v>
      </c>
      <c r="M200" s="235">
        <f>M$171-SUM(AF$85:AF114)</f>
        <v>20000000</v>
      </c>
      <c r="N200" s="235">
        <f>N$171-SUM(AG$85:AG114)</f>
        <v>-4.2696036398410797E-3</v>
      </c>
      <c r="O200" s="235">
        <f>O$171-SUM(AH$85:AH114)</f>
        <v>64544590.742500335</v>
      </c>
      <c r="P200" s="235">
        <f>P$171-SUM(AI$85:AI114)</f>
        <v>40000000</v>
      </c>
      <c r="Q200" s="235">
        <f>Q$171-SUM(AJ$85:AJ114)</f>
        <v>22651766.837813351</v>
      </c>
      <c r="R200" s="235">
        <f>R$171-SUM(AK$85:AK114)</f>
        <v>129564273.10981403</v>
      </c>
      <c r="S200" s="236">
        <f>S$171-SUM(AL$85:AL114)</f>
        <v>22000000</v>
      </c>
      <c r="T200" s="260">
        <f t="shared" si="180"/>
        <v>3779172586.3499169</v>
      </c>
    </row>
    <row r="201" spans="1:20">
      <c r="A201" s="225">
        <v>40137</v>
      </c>
      <c r="B201" s="75"/>
      <c r="C201" s="234">
        <f>C$171-SUM(V$85:V115)</f>
        <v>1.2896060943603516E-3</v>
      </c>
      <c r="D201" s="235">
        <f>D$171-SUM(W$85:W115)</f>
        <v>-1.8990635871887207E-3</v>
      </c>
      <c r="E201" s="235">
        <f>E$171-SUM(X$85:X115)</f>
        <v>-9.9999904632568359E-3</v>
      </c>
      <c r="F201" s="235">
        <f>F$171-SUM(Y$85:Y115)</f>
        <v>300156316.73387814</v>
      </c>
      <c r="G201" s="235">
        <f>G$171-SUM(Z$85:Z115)</f>
        <v>111580858.22096914</v>
      </c>
      <c r="H201" s="235">
        <f>H$171-SUM(AA$85:AA115)</f>
        <v>1222692036.645525</v>
      </c>
      <c r="I201" s="235">
        <f>I$171-SUM(AB$85:AB115)</f>
        <v>777792860.05158138</v>
      </c>
      <c r="J201" s="235">
        <f>J$171-SUM(AC$85:AC115)</f>
        <v>768500000</v>
      </c>
      <c r="K201" s="235">
        <f>K$171-SUM(AD$85:AD115)</f>
        <v>4.3295323848724365E-5</v>
      </c>
      <c r="L201" s="235">
        <f>L$171-SUM(AE$85:AE115)</f>
        <v>95018324.962671369</v>
      </c>
      <c r="M201" s="235">
        <f>M$171-SUM(AF$85:AF115)</f>
        <v>20000000</v>
      </c>
      <c r="N201" s="235">
        <f>N$171-SUM(AG$85:AG115)</f>
        <v>-4.2696036398410797E-3</v>
      </c>
      <c r="O201" s="235">
        <f>O$171-SUM(AH$85:AH115)</f>
        <v>64544590.742500335</v>
      </c>
      <c r="P201" s="235">
        <f>P$171-SUM(AI$85:AI115)</f>
        <v>40000000</v>
      </c>
      <c r="Q201" s="235">
        <f>Q$171-SUM(AJ$85:AJ115)</f>
        <v>22651766.837813351</v>
      </c>
      <c r="R201" s="235">
        <f>R$171-SUM(AK$85:AK115)</f>
        <v>129564273.10981403</v>
      </c>
      <c r="S201" s="236">
        <f>S$171-SUM(AL$85:AL115)</f>
        <v>22000000</v>
      </c>
      <c r="T201" s="260">
        <f t="shared" si="180"/>
        <v>3574501027.289917</v>
      </c>
    </row>
    <row r="202" spans="1:20">
      <c r="A202" s="225">
        <v>40167</v>
      </c>
      <c r="B202" s="75"/>
      <c r="C202" s="234">
        <f>C$171-SUM(V$85:V116)</f>
        <v>1.2896060943603516E-3</v>
      </c>
      <c r="D202" s="235">
        <f>D$171-SUM(W$85:W116)</f>
        <v>-1.8990635871887207E-3</v>
      </c>
      <c r="E202" s="235">
        <f>E$171-SUM(X$85:X116)</f>
        <v>-9.9999904632568359E-3</v>
      </c>
      <c r="F202" s="235">
        <f>F$171-SUM(Y$85:Y116)</f>
        <v>300156316.73387814</v>
      </c>
      <c r="G202" s="235">
        <f>G$171-SUM(Z$85:Z116)</f>
        <v>111580858.22096914</v>
      </c>
      <c r="H202" s="235">
        <f>H$171-SUM(AA$85:AA116)</f>
        <v>1222692036.645525</v>
      </c>
      <c r="I202" s="235">
        <f>I$171-SUM(AB$85:AB116)</f>
        <v>777792860.05158138</v>
      </c>
      <c r="J202" s="235">
        <f>J$171-SUM(AC$85:AC116)</f>
        <v>768500000</v>
      </c>
      <c r="K202" s="235">
        <f>K$171-SUM(AD$85:AD116)</f>
        <v>4.3295323848724365E-5</v>
      </c>
      <c r="L202" s="235">
        <f>L$171-SUM(AE$85:AE116)</f>
        <v>95018324.962671369</v>
      </c>
      <c r="M202" s="235">
        <f>M$171-SUM(AF$85:AF116)</f>
        <v>20000000</v>
      </c>
      <c r="N202" s="235">
        <f>N$171-SUM(AG$85:AG116)</f>
        <v>-4.2696036398410797E-3</v>
      </c>
      <c r="O202" s="235">
        <f>O$171-SUM(AH$85:AH116)</f>
        <v>64544590.742500335</v>
      </c>
      <c r="P202" s="235">
        <f>P$171-SUM(AI$85:AI116)</f>
        <v>40000000</v>
      </c>
      <c r="Q202" s="235">
        <f>Q$171-SUM(AJ$85:AJ116)</f>
        <v>22651766.837813351</v>
      </c>
      <c r="R202" s="235">
        <f>R$171-SUM(AK$85:AK116)</f>
        <v>129564273.10981403</v>
      </c>
      <c r="S202" s="236">
        <f>S$171-SUM(AL$85:AL116)</f>
        <v>22000000</v>
      </c>
      <c r="T202" s="260">
        <f t="shared" si="180"/>
        <v>3574501027.289917</v>
      </c>
    </row>
    <row r="203" spans="1:20">
      <c r="A203" s="225">
        <v>40198</v>
      </c>
      <c r="B203" s="75"/>
      <c r="C203" s="234">
        <f>C$171-SUM(V$85:V117)</f>
        <v>1.2896060943603516E-3</v>
      </c>
      <c r="D203" s="235">
        <f>D$171-SUM(W$85:W117)</f>
        <v>-1.8990635871887207E-3</v>
      </c>
      <c r="E203" s="235">
        <f>E$171-SUM(X$85:X117)</f>
        <v>-9.9999904632568359E-3</v>
      </c>
      <c r="F203" s="235">
        <f>F$171-SUM(Y$85:Y117)</f>
        <v>300156316.73387814</v>
      </c>
      <c r="G203" s="235">
        <f>G$171-SUM(Z$85:Z117)</f>
        <v>111580858.22096914</v>
      </c>
      <c r="H203" s="235">
        <f>H$171-SUM(AA$85:AA117)</f>
        <v>1222692036.645525</v>
      </c>
      <c r="I203" s="235">
        <f>I$171-SUM(AB$85:AB117)</f>
        <v>777792860.05158138</v>
      </c>
      <c r="J203" s="235">
        <f>J$171-SUM(AC$85:AC117)</f>
        <v>768500000</v>
      </c>
      <c r="K203" s="235">
        <f>K$171-SUM(AD$85:AD117)</f>
        <v>4.3295323848724365E-5</v>
      </c>
      <c r="L203" s="235">
        <f>L$171-SUM(AE$85:AE117)</f>
        <v>95018324.962671369</v>
      </c>
      <c r="M203" s="235">
        <f>M$171-SUM(AF$85:AF117)</f>
        <v>20000000</v>
      </c>
      <c r="N203" s="235">
        <f>N$171-SUM(AG$85:AG117)</f>
        <v>-4.2696036398410797E-3</v>
      </c>
      <c r="O203" s="235">
        <f>O$171-SUM(AH$85:AH117)</f>
        <v>64544590.742500335</v>
      </c>
      <c r="P203" s="235">
        <f>P$171-SUM(AI$85:AI117)</f>
        <v>40000000</v>
      </c>
      <c r="Q203" s="235">
        <f>Q$171-SUM(AJ$85:AJ117)</f>
        <v>22651766.837813351</v>
      </c>
      <c r="R203" s="235">
        <f>R$171-SUM(AK$85:AK117)</f>
        <v>129564273.10981403</v>
      </c>
      <c r="S203" s="236">
        <f>S$171-SUM(AL$85:AL117)</f>
        <v>22000000</v>
      </c>
      <c r="T203" s="260">
        <f t="shared" ref="T203:T234" si="181">SUM(C203:S203)</f>
        <v>3574501027.289917</v>
      </c>
    </row>
    <row r="204" spans="1:20">
      <c r="A204" s="225">
        <v>40231</v>
      </c>
      <c r="B204" s="75"/>
      <c r="C204" s="234">
        <f>C$171-SUM(V$85:V118)</f>
        <v>1.2896060943603516E-3</v>
      </c>
      <c r="D204" s="235">
        <f>D$171-SUM(W$85:W118)</f>
        <v>-1.8990635871887207E-3</v>
      </c>
      <c r="E204" s="235">
        <f>E$171-SUM(X$85:X118)</f>
        <v>-9.9999904632568359E-3</v>
      </c>
      <c r="F204" s="235">
        <f>F$171-SUM(Y$85:Y118)</f>
        <v>159046443.55387807</v>
      </c>
      <c r="G204" s="235">
        <f>G$171-SUM(Z$85:Z118)</f>
        <v>59124321.820969164</v>
      </c>
      <c r="H204" s="235">
        <f>H$171-SUM(AA$85:AA118)</f>
        <v>1222692036.645525</v>
      </c>
      <c r="I204" s="235">
        <f>I$171-SUM(AB$85:AB118)</f>
        <v>777792860.05158138</v>
      </c>
      <c r="J204" s="235">
        <f>J$171-SUM(AC$85:AC118)</f>
        <v>768500000</v>
      </c>
      <c r="K204" s="235">
        <f>K$171-SUM(AD$85:AD118)</f>
        <v>4.3295323848724365E-5</v>
      </c>
      <c r="L204" s="1301">
        <f>L$171-SUM(AE$85:AE118)-50348187.97</f>
        <v>2.671368420124054E-3</v>
      </c>
      <c r="M204" s="1302">
        <v>0</v>
      </c>
      <c r="N204" s="1301">
        <f>N$171-SUM(AG$85:AG118)</f>
        <v>-4.2696036398410797E-3</v>
      </c>
      <c r="O204" s="1301">
        <v>0</v>
      </c>
      <c r="P204" s="1303">
        <f>P$171-SUM(AI$85:AI118)-21195148.62</f>
        <v>0</v>
      </c>
      <c r="Q204" s="1303">
        <f>Q$171-SUM(AJ$85:AJ118)-12002689.12</f>
        <v>-2.1866485476493835E-3</v>
      </c>
      <c r="R204" s="1303">
        <f>R$171-SUM(AK$85:AK118)-68653350.61</f>
        <v>-1.8596649169921875E-4</v>
      </c>
      <c r="S204" s="1305">
        <f>S$171-SUM(AL$85:AL118)-11657331.74</f>
        <v>0</v>
      </c>
      <c r="T204" s="260">
        <f t="shared" si="181"/>
        <v>2987155662.0574164</v>
      </c>
    </row>
    <row r="205" spans="1:20">
      <c r="A205" s="225">
        <v>40257</v>
      </c>
      <c r="B205" s="75"/>
      <c r="C205" s="234">
        <f>C$171-SUM(V$85:V119)</f>
        <v>1.2896060943603516E-3</v>
      </c>
      <c r="D205" s="235">
        <f>D$171-SUM(W$85:W119)</f>
        <v>-1.8990635871887207E-3</v>
      </c>
      <c r="E205" s="235">
        <f>E$171-SUM(X$85:X119)</f>
        <v>-9.9999904632568359E-3</v>
      </c>
      <c r="F205" s="235">
        <f>F$171-SUM(Y$85:Y119)</f>
        <v>159046443.55387807</v>
      </c>
      <c r="G205" s="235">
        <f>G$171-SUM(Z$85:Z119)</f>
        <v>59124321.820969164</v>
      </c>
      <c r="H205" s="235">
        <f>H$171-SUM(AA$85:AA119)</f>
        <v>1222692036.645525</v>
      </c>
      <c r="I205" s="235">
        <f>I$171-SUM(AB$85:AB119)</f>
        <v>777792860.05158138</v>
      </c>
      <c r="J205" s="235">
        <f>J$171-SUM(AC$85:AC119)</f>
        <v>768500000</v>
      </c>
      <c r="K205" s="235">
        <f>K$171-SUM(AD$85:AD119)</f>
        <v>4.3295323848724365E-5</v>
      </c>
      <c r="L205" s="1303">
        <f>L$171-SUM(AE$85:AE119)-50348187.97</f>
        <v>2.671368420124054E-3</v>
      </c>
      <c r="M205" s="1302">
        <v>0</v>
      </c>
      <c r="N205" s="1303">
        <f>N$171-SUM(AG$85:AG119)</f>
        <v>-4.2696036398410797E-3</v>
      </c>
      <c r="O205" s="1301">
        <v>0</v>
      </c>
      <c r="P205" s="1303">
        <f>P$171-SUM(AI$85:AI119)-21195148.62</f>
        <v>0</v>
      </c>
      <c r="Q205" s="1303">
        <f>Q$171-SUM(AJ$85:AJ119)-12002689.12</f>
        <v>-2.1866485476493835E-3</v>
      </c>
      <c r="R205" s="1303">
        <f>R$171-SUM(AK$85:AK119)-68653350.61</f>
        <v>-1.8596649169921875E-4</v>
      </c>
      <c r="S205" s="1305">
        <f>S$171-SUM(AL$85:AL119)-11657331.74</f>
        <v>0</v>
      </c>
      <c r="T205" s="260">
        <f t="shared" si="181"/>
        <v>2987155662.0574164</v>
      </c>
    </row>
    <row r="206" spans="1:20">
      <c r="A206" s="225">
        <v>40288</v>
      </c>
      <c r="B206" s="75"/>
      <c r="C206" s="234">
        <f>C$171-SUM(V$85:V120)</f>
        <v>1.2896060943603516E-3</v>
      </c>
      <c r="D206" s="235">
        <f>D$171-SUM(W$85:W120)</f>
        <v>-1.8990635871887207E-3</v>
      </c>
      <c r="E206" s="235">
        <f>E$171-SUM(X$85:X120)</f>
        <v>-9.9999904632568359E-3</v>
      </c>
      <c r="F206" s="235">
        <f>F$171-SUM(Y$85:Y120)</f>
        <v>159046443.55387807</v>
      </c>
      <c r="G206" s="235">
        <f>G$171-SUM(Z$85:Z120)</f>
        <v>59124321.820969164</v>
      </c>
      <c r="H206" s="235">
        <f>H$171-SUM(AA$85:AA120)</f>
        <v>1222692036.645525</v>
      </c>
      <c r="I206" s="235">
        <f>I$171-SUM(AB$85:AB120)</f>
        <v>777792860.05158138</v>
      </c>
      <c r="J206" s="235">
        <f>J$171-SUM(AC$85:AC120)</f>
        <v>768500000</v>
      </c>
      <c r="K206" s="235">
        <f>K$171-SUM(AD$85:AD120)</f>
        <v>4.3295323848724365E-5</v>
      </c>
      <c r="L206" s="1303">
        <f>L$171-SUM(AE$85:AE120)-50348187.97</f>
        <v>2.671368420124054E-3</v>
      </c>
      <c r="M206" s="1302">
        <v>0</v>
      </c>
      <c r="N206" s="1303">
        <f>N$171-SUM(AG$85:AG120)</f>
        <v>-4.2696036398410797E-3</v>
      </c>
      <c r="O206" s="1301">
        <v>0</v>
      </c>
      <c r="P206" s="1303">
        <f>P$171-SUM(AI$85:AI120)-21195148.62</f>
        <v>0</v>
      </c>
      <c r="Q206" s="1303">
        <f>Q$171-SUM(AJ$85:AJ120)-12002689.12</f>
        <v>-2.1866485476493835E-3</v>
      </c>
      <c r="R206" s="1303">
        <f>R$171-SUM(AK$85:AK120)-68653350.61</f>
        <v>-1.8596649169921875E-4</v>
      </c>
      <c r="S206" s="1305">
        <f>S$171-SUM(AL$85:AL120)-11657331.74</f>
        <v>0</v>
      </c>
      <c r="T206" s="260">
        <f t="shared" si="181"/>
        <v>2987155662.0574164</v>
      </c>
    </row>
    <row r="207" spans="1:20">
      <c r="A207" s="225">
        <v>40318</v>
      </c>
      <c r="B207" s="75"/>
      <c r="C207" s="234">
        <f>C$171-SUM(V$85:V121)</f>
        <v>1.2896060943603516E-3</v>
      </c>
      <c r="D207" s="235">
        <f>D$171-SUM(W$85:W121)</f>
        <v>-1.8990635871887207E-3</v>
      </c>
      <c r="E207" s="235">
        <f>E$171-SUM(X$85:X121)</f>
        <v>-9.9999904632568359E-3</v>
      </c>
      <c r="F207" s="235">
        <f>F$171-SUM(Y$85:Y121)</f>
        <v>25592965.043878078</v>
      </c>
      <c r="G207" s="235">
        <f>G$171-SUM(Z$85:Z121)</f>
        <v>9513992.6909691691</v>
      </c>
      <c r="H207" s="235">
        <f>H$171-SUM(AA$85:AA121)</f>
        <v>1222692036.645525</v>
      </c>
      <c r="I207" s="235">
        <f>I$171-SUM(AB$85:AB121)</f>
        <v>777792860.05158138</v>
      </c>
      <c r="J207" s="235">
        <f>J$171-SUM(AC$85:AC121)</f>
        <v>768500000</v>
      </c>
      <c r="K207" s="235">
        <f>K$171-SUM(AD$85:AD121)</f>
        <v>4.3295323848724365E-5</v>
      </c>
      <c r="L207" s="1303">
        <f>L$171-SUM(AE$85:AE121)-50348187.97</f>
        <v>2.671368420124054E-3</v>
      </c>
      <c r="M207" s="1302">
        <v>0</v>
      </c>
      <c r="N207" s="1303">
        <f>N$171-SUM(AG$85:AG121)</f>
        <v>-4.2696036398410797E-3</v>
      </c>
      <c r="O207" s="1301">
        <v>0</v>
      </c>
      <c r="P207" s="1303">
        <f>P$171-SUM(AI$85:AI121)-21195148.62</f>
        <v>0</v>
      </c>
      <c r="Q207" s="1303">
        <f>Q$171-SUM(AJ$85:AJ121)-12002689.12</f>
        <v>-2.1866485476493835E-3</v>
      </c>
      <c r="R207" s="1303">
        <f>R$171-SUM(AK$85:AK121)-68653350.61</f>
        <v>-1.8596649169921875E-4</v>
      </c>
      <c r="S207" s="1305">
        <f>S$171-SUM(AL$85:AL121)-11657331.74</f>
        <v>0</v>
      </c>
      <c r="T207" s="260">
        <f t="shared" si="181"/>
        <v>2804091854.4174166</v>
      </c>
    </row>
    <row r="208" spans="1:20">
      <c r="A208" s="225">
        <v>40349</v>
      </c>
      <c r="B208" s="75"/>
      <c r="C208" s="234">
        <f>C$171-SUM(V$85:V122)</f>
        <v>1.2896060943603516E-3</v>
      </c>
      <c r="D208" s="235">
        <f>D$171-SUM(W$85:W122)</f>
        <v>-1.8990635871887207E-3</v>
      </c>
      <c r="E208" s="235">
        <f>E$171-SUM(X$85:X122)</f>
        <v>-9.9999904632568359E-3</v>
      </c>
      <c r="F208" s="235">
        <f>F$171-SUM(Y$85:Y122)</f>
        <v>25592965.043878078</v>
      </c>
      <c r="G208" s="235">
        <f>G$171-SUM(Z$85:Z122)</f>
        <v>9513992.6909691691</v>
      </c>
      <c r="H208" s="235">
        <f>H$171-SUM(AA$85:AA122)</f>
        <v>1222692036.645525</v>
      </c>
      <c r="I208" s="235">
        <f>I$171-SUM(AB$85:AB122)</f>
        <v>777792860.05158138</v>
      </c>
      <c r="J208" s="235">
        <f>J$171-SUM(AC$85:AC122)</f>
        <v>768500000</v>
      </c>
      <c r="K208" s="235">
        <f>K$171-SUM(AD$85:AD122)</f>
        <v>4.3295323848724365E-5</v>
      </c>
      <c r="L208" s="1303">
        <f>L$171-SUM(AE$85:AE122)-50348187.97</f>
        <v>2.671368420124054E-3</v>
      </c>
      <c r="M208" s="1302">
        <v>0</v>
      </c>
      <c r="N208" s="1303">
        <f>N$171-SUM(AG$85:AG122)</f>
        <v>-4.2696036398410797E-3</v>
      </c>
      <c r="O208" s="1301">
        <v>0</v>
      </c>
      <c r="P208" s="1303">
        <f>P$171-SUM(AI$85:AI122)-21195148.62</f>
        <v>0</v>
      </c>
      <c r="Q208" s="1303">
        <f>Q$171-SUM(AJ$85:AJ122)-12002689.12</f>
        <v>-2.1866485476493835E-3</v>
      </c>
      <c r="R208" s="1303">
        <f>R$171-SUM(AK$85:AK122)-68653350.61</f>
        <v>-1.8596649169921875E-4</v>
      </c>
      <c r="S208" s="1305">
        <f>S$171-SUM(AL$85:AL122)-11657331.74</f>
        <v>0</v>
      </c>
      <c r="T208" s="260">
        <f t="shared" si="181"/>
        <v>2804091854.4174166</v>
      </c>
    </row>
    <row r="209" spans="1:20">
      <c r="A209" s="225">
        <v>40379</v>
      </c>
      <c r="B209" s="75"/>
      <c r="C209" s="234">
        <f>C$171-SUM(V$85:V123)</f>
        <v>1.2896060943603516E-3</v>
      </c>
      <c r="D209" s="235">
        <f>D$171-SUM(W$85:W123)</f>
        <v>-1.8990635871887207E-3</v>
      </c>
      <c r="E209" s="235">
        <f>E$171-SUM(X$85:X123)</f>
        <v>-9.9999904632568359E-3</v>
      </c>
      <c r="F209" s="235">
        <f>F$171-SUM(Y$85:Y123)</f>
        <v>25592965.043878078</v>
      </c>
      <c r="G209" s="235">
        <f>G$171-SUM(Z$85:Z123)</f>
        <v>9513992.6909691691</v>
      </c>
      <c r="H209" s="235">
        <f>H$171-SUM(AA$85:AA123)</f>
        <v>1222692036.645525</v>
      </c>
      <c r="I209" s="235">
        <f>I$171-SUM(AB$85:AB123)</f>
        <v>777792860.05158138</v>
      </c>
      <c r="J209" s="235">
        <f>J$171-SUM(AC$85:AC123)</f>
        <v>768500000</v>
      </c>
      <c r="K209" s="235">
        <f>K$171-SUM(AD$85:AD123)</f>
        <v>4.3295323848724365E-5</v>
      </c>
      <c r="L209" s="1303">
        <f>L$171-SUM(AE$85:AE123)-50348187.97</f>
        <v>2.671368420124054E-3</v>
      </c>
      <c r="M209" s="1302">
        <v>0</v>
      </c>
      <c r="N209" s="1303">
        <f>N$171-SUM(AG$85:AG123)</f>
        <v>-4.2696036398410797E-3</v>
      </c>
      <c r="O209" s="1301">
        <v>0</v>
      </c>
      <c r="P209" s="1303">
        <f>P$171-SUM(AI$85:AI123)-21195148.62</f>
        <v>0</v>
      </c>
      <c r="Q209" s="1303">
        <f>Q$171-SUM(AJ$85:AJ123)-12002689.12</f>
        <v>-2.1866485476493835E-3</v>
      </c>
      <c r="R209" s="1303">
        <f>R$171-SUM(AK$85:AK123)-68653350.61</f>
        <v>-1.8596649169921875E-4</v>
      </c>
      <c r="S209" s="1305">
        <f>S$171-SUM(AL$85:AL123)-11657331.74</f>
        <v>0</v>
      </c>
      <c r="T209" s="260">
        <f t="shared" si="181"/>
        <v>2804091854.4174166</v>
      </c>
    </row>
    <row r="210" spans="1:20">
      <c r="A210" s="225">
        <v>40410</v>
      </c>
      <c r="B210" s="75"/>
      <c r="C210" s="234">
        <f>C$171-SUM(V$85:V124)</f>
        <v>1.2896060943603516E-3</v>
      </c>
      <c r="D210" s="235">
        <f>D$171-SUM(W$85:W124)</f>
        <v>-1.8990635871887207E-3</v>
      </c>
      <c r="E210" s="235">
        <f>E$171-SUM(X$85:X124)</f>
        <v>-9.9999904632568359E-3</v>
      </c>
      <c r="F210" s="235">
        <f>F$171-SUM(Y$85:Y124)</f>
        <v>3.8781166076660156E-3</v>
      </c>
      <c r="G210" s="235">
        <f>G$171-SUM(Z$85:Z124)</f>
        <v>9.6917152404785156E-4</v>
      </c>
      <c r="H210" s="235">
        <f>H$171-SUM(AA$85:AA124)</f>
        <v>1161793828.0255251</v>
      </c>
      <c r="I210" s="235">
        <f>I$171-SUM(AB$85:AB124)</f>
        <v>739053594.20158136</v>
      </c>
      <c r="J210" s="235">
        <f>J$171-SUM(AC$85:AC124)</f>
        <v>730223580.49000001</v>
      </c>
      <c r="K210" s="235">
        <f>K$171-SUM(AD$85:AD124)</f>
        <v>4.3295323848724365E-5</v>
      </c>
      <c r="L210" s="1303">
        <f>L$171-SUM(AE$85:AE124)-50348187.97</f>
        <v>2.671368420124054E-3</v>
      </c>
      <c r="M210" s="1302">
        <v>0</v>
      </c>
      <c r="N210" s="1303">
        <f>N$171-SUM(AG$85:AG124)</f>
        <v>-4.2696036398410797E-3</v>
      </c>
      <c r="O210" s="1301">
        <v>0</v>
      </c>
      <c r="P210" s="1303">
        <f>P$171-SUM(AI$85:AI124)-21195148.62</f>
        <v>0</v>
      </c>
      <c r="Q210" s="1303">
        <f>Q$171-SUM(AJ$85:AJ124)-12002689.12</f>
        <v>-2.1866485476493835E-3</v>
      </c>
      <c r="R210" s="1303">
        <f>R$171-SUM(AK$85:AK124)-68653350.61</f>
        <v>-1.8596649169921875E-4</v>
      </c>
      <c r="S210" s="1305">
        <f>S$171-SUM(AL$85:AL124)-11657331.74</f>
        <v>0</v>
      </c>
      <c r="T210" s="260">
        <f t="shared" si="181"/>
        <v>2631071002.707417</v>
      </c>
    </row>
    <row r="211" spans="1:20">
      <c r="A211" s="225">
        <v>40441</v>
      </c>
      <c r="B211" s="75"/>
      <c r="C211" s="234">
        <f>C$171-SUM(V$85:V125)</f>
        <v>1.2896060943603516E-3</v>
      </c>
      <c r="D211" s="235">
        <f>D$171-SUM(W$85:W125)</f>
        <v>-1.8990635871887207E-3</v>
      </c>
      <c r="E211" s="235">
        <f>E$171-SUM(X$85:X125)</f>
        <v>-9.9999904632568359E-3</v>
      </c>
      <c r="F211" s="235">
        <f>F$171-SUM(Y$85:Y125)</f>
        <v>3.8781166076660156E-3</v>
      </c>
      <c r="G211" s="235">
        <f>G$171-SUM(Z$85:Z125)</f>
        <v>9.6917152404785156E-4</v>
      </c>
      <c r="H211" s="235">
        <f>H$171-SUM(AA$85:AA125)</f>
        <v>1161793828.0255251</v>
      </c>
      <c r="I211" s="235">
        <f>I$171-SUM(AB$85:AB125)</f>
        <v>739053594.20158136</v>
      </c>
      <c r="J211" s="235">
        <f>J$171-SUM(AC$85:AC125)</f>
        <v>730223580.49000001</v>
      </c>
      <c r="K211" s="235">
        <f>K$171-SUM(AD$85:AD125)</f>
        <v>4.3295323848724365E-5</v>
      </c>
      <c r="L211" s="1303">
        <f>L$171-SUM(AE$85:AE125)-50348187.97</f>
        <v>2.671368420124054E-3</v>
      </c>
      <c r="M211" s="1302">
        <v>0</v>
      </c>
      <c r="N211" s="1303">
        <f>N$171-SUM(AG$85:AG125)</f>
        <v>-4.2696036398410797E-3</v>
      </c>
      <c r="O211" s="1301">
        <v>0</v>
      </c>
      <c r="P211" s="1303">
        <f>P$171-SUM(AI$85:AI125)-21195148.62</f>
        <v>0</v>
      </c>
      <c r="Q211" s="1303">
        <f>Q$171-SUM(AJ$85:AJ125)-12002689.12</f>
        <v>-2.1866485476493835E-3</v>
      </c>
      <c r="R211" s="1303">
        <f>R$171-SUM(AK$85:AK125)-68653350.61</f>
        <v>-1.8596649169921875E-4</v>
      </c>
      <c r="S211" s="1305">
        <f>S$171-SUM(AL$85:AL125)-11657331.74</f>
        <v>0</v>
      </c>
      <c r="T211" s="260">
        <f t="shared" si="181"/>
        <v>2631071002.707417</v>
      </c>
    </row>
    <row r="212" spans="1:20">
      <c r="A212" s="225">
        <v>40471</v>
      </c>
      <c r="B212" s="75"/>
      <c r="C212" s="234">
        <f>C$171-SUM(V$85:V126)</f>
        <v>1.2896060943603516E-3</v>
      </c>
      <c r="D212" s="235">
        <f>D$171-SUM(W$85:W126)</f>
        <v>-1.8990635871887207E-3</v>
      </c>
      <c r="E212" s="235">
        <f>E$171-SUM(X$85:X126)</f>
        <v>-9.9999904632568359E-3</v>
      </c>
      <c r="F212" s="235">
        <f>F$171-SUM(Y$85:Y126)</f>
        <v>3.8781166076660156E-3</v>
      </c>
      <c r="G212" s="235">
        <f>G$171-SUM(Z$85:Z126)</f>
        <v>9.6917152404785156E-4</v>
      </c>
      <c r="H212" s="235">
        <f>H$171-SUM(AA$85:AA126)</f>
        <v>1161793828.0255251</v>
      </c>
      <c r="I212" s="235">
        <f>I$171-SUM(AB$85:AB126)</f>
        <v>739053594.20158136</v>
      </c>
      <c r="J212" s="235">
        <f>J$171-SUM(AC$85:AC126)</f>
        <v>730223580.49000001</v>
      </c>
      <c r="K212" s="235">
        <f>K$171-SUM(AD$85:AD126)</f>
        <v>4.3295323848724365E-5</v>
      </c>
      <c r="L212" s="1303">
        <f>L$171-SUM(AE$85:AE126)-50348187.97</f>
        <v>2.671368420124054E-3</v>
      </c>
      <c r="M212" s="1302">
        <v>0</v>
      </c>
      <c r="N212" s="1303">
        <f>N$171-SUM(AG$85:AG126)</f>
        <v>-4.2696036398410797E-3</v>
      </c>
      <c r="O212" s="1301">
        <v>0</v>
      </c>
      <c r="P212" s="1303">
        <f>P$171-SUM(AI$85:AI126)-21195148.62</f>
        <v>0</v>
      </c>
      <c r="Q212" s="1303">
        <f>Q$171-SUM(AJ$85:AJ126)-12002689.12</f>
        <v>-2.1866485476493835E-3</v>
      </c>
      <c r="R212" s="1303">
        <f>R$171-SUM(AK$85:AK126)-68653350.61</f>
        <v>-1.8596649169921875E-4</v>
      </c>
      <c r="S212" s="1305">
        <f>S$171-SUM(AL$85:AL126)-11657331.74</f>
        <v>0</v>
      </c>
      <c r="T212" s="260">
        <f t="shared" si="181"/>
        <v>2631071002.707417</v>
      </c>
    </row>
    <row r="213" spans="1:20">
      <c r="A213" s="225">
        <v>40504</v>
      </c>
      <c r="B213" s="75"/>
      <c r="C213" s="234">
        <f>C$171-SUM(V$85:V127)</f>
        <v>1.2896060943603516E-3</v>
      </c>
      <c r="D213" s="235">
        <f>D$171-SUM(W$85:W127)</f>
        <v>-1.8990635871887207E-3</v>
      </c>
      <c r="E213" s="235">
        <f>E$171-SUM(X$85:X127)</f>
        <v>-9.9999904632568359E-3</v>
      </c>
      <c r="F213" s="235">
        <f>F$171-SUM(Y$85:Y127)</f>
        <v>3.8781166076660156E-3</v>
      </c>
      <c r="G213" s="235">
        <f>G$171-SUM(Z$85:Z127)</f>
        <v>9.6917152404785156E-4</v>
      </c>
      <c r="H213" s="235">
        <f>H$171-SUM(AA$85:AA127)</f>
        <v>1089550611.9655249</v>
      </c>
      <c r="I213" s="235">
        <f>I$171-SUM(AB$85:AB127)</f>
        <v>693097412.30158138</v>
      </c>
      <c r="J213" s="235">
        <f>J$171-SUM(AC$85:AC127)</f>
        <v>684816470.70000005</v>
      </c>
      <c r="K213" s="235">
        <f>K$171-SUM(AD$85:AD127)</f>
        <v>4.3295323848724365E-5</v>
      </c>
      <c r="L213" s="1303">
        <f>L$171-SUM(AE$85:AE127)-50348187.97</f>
        <v>2.671368420124054E-3</v>
      </c>
      <c r="M213" s="1302">
        <v>0</v>
      </c>
      <c r="N213" s="1303">
        <f>N$171-SUM(AG$85:AG127)</f>
        <v>-4.2696036398410797E-3</v>
      </c>
      <c r="O213" s="1301">
        <v>0</v>
      </c>
      <c r="P213" s="1303">
        <f>P$171-SUM(AI$85:AI127)-21195148.62</f>
        <v>0</v>
      </c>
      <c r="Q213" s="1303">
        <f>Q$171-SUM(AJ$85:AJ127)-12002689.12</f>
        <v>-2.1866485476493835E-3</v>
      </c>
      <c r="R213" s="1303">
        <f>R$171-SUM(AK$85:AK127)-68653350.61</f>
        <v>-1.8596649169921875E-4</v>
      </c>
      <c r="S213" s="1305">
        <f>S$171-SUM(AL$85:AL127)-11657331.74</f>
        <v>0</v>
      </c>
      <c r="T213" s="260">
        <f t="shared" si="181"/>
        <v>2467464494.9574165</v>
      </c>
    </row>
    <row r="214" spans="1:20">
      <c r="A214" s="225">
        <v>40532</v>
      </c>
      <c r="B214" s="75"/>
      <c r="C214" s="234">
        <f>C$171-SUM(V$85:V128)</f>
        <v>1.2896060943603516E-3</v>
      </c>
      <c r="D214" s="235">
        <f>D$171-SUM(W$85:W128)</f>
        <v>-1.8990635871887207E-3</v>
      </c>
      <c r="E214" s="235">
        <f>E$171-SUM(X$85:X128)</f>
        <v>-9.9999904632568359E-3</v>
      </c>
      <c r="F214" s="235">
        <f>F$171-SUM(Y$85:Y128)</f>
        <v>3.8781166076660156E-3</v>
      </c>
      <c r="G214" s="235">
        <f>G$171-SUM(Z$85:Z128)</f>
        <v>9.6917152404785156E-4</v>
      </c>
      <c r="H214" s="235">
        <f>H$171-SUM(AA$85:AA128)</f>
        <v>1089550611.9655249</v>
      </c>
      <c r="I214" s="235">
        <f>I$171-SUM(AB$85:AB128)</f>
        <v>693097412.30158138</v>
      </c>
      <c r="J214" s="235">
        <f>J$171-SUM(AC$85:AC128)</f>
        <v>684816470.70000005</v>
      </c>
      <c r="K214" s="235">
        <f>K$171-SUM(AD$85:AD128)</f>
        <v>4.3295323848724365E-5</v>
      </c>
      <c r="L214" s="1303">
        <f>L$171-SUM(AE$85:AE128)-50348187.97</f>
        <v>2.671368420124054E-3</v>
      </c>
      <c r="M214" s="1302">
        <v>0</v>
      </c>
      <c r="N214" s="1303">
        <f>N$171-SUM(AG$85:AG128)</f>
        <v>-4.2696036398410797E-3</v>
      </c>
      <c r="O214" s="1301">
        <v>0</v>
      </c>
      <c r="P214" s="1303">
        <f>P$171-SUM(AI$85:AI128)-21195148.62</f>
        <v>0</v>
      </c>
      <c r="Q214" s="1303">
        <f>Q$171-SUM(AJ$85:AJ128)-12002689.12</f>
        <v>-2.1866485476493835E-3</v>
      </c>
      <c r="R214" s="1303">
        <f>R$171-SUM(AK$85:AK128)-68653350.61</f>
        <v>-1.8596649169921875E-4</v>
      </c>
      <c r="S214" s="1305">
        <f>S$171-SUM(AL$85:AL128)-11657331.74</f>
        <v>0</v>
      </c>
      <c r="T214" s="260">
        <f t="shared" si="181"/>
        <v>2467464494.9574165</v>
      </c>
    </row>
    <row r="215" spans="1:20">
      <c r="A215" s="225">
        <v>40563</v>
      </c>
      <c r="B215" s="75"/>
      <c r="C215" s="234">
        <f>C$171-SUM(V$85:V129)</f>
        <v>1.2896060943603516E-3</v>
      </c>
      <c r="D215" s="235">
        <f>D$171-SUM(W$85:W129)</f>
        <v>-1.8990635871887207E-3</v>
      </c>
      <c r="E215" s="235">
        <f>E$171-SUM(X$85:X129)</f>
        <v>-9.9999904632568359E-3</v>
      </c>
      <c r="F215" s="235">
        <f>F$171-SUM(Y$85:Y129)</f>
        <v>3.8781166076660156E-3</v>
      </c>
      <c r="G215" s="235">
        <f>G$171-SUM(Z$85:Z129)</f>
        <v>9.6917152404785156E-4</v>
      </c>
      <c r="H215" s="235">
        <f>H$171-SUM(AA$85:AA129)</f>
        <v>1089550611.9655249</v>
      </c>
      <c r="I215" s="235">
        <f>I$171-SUM(AB$85:AB129)</f>
        <v>693097412.30158138</v>
      </c>
      <c r="J215" s="235">
        <f>J$171-SUM(AC$85:AC129)</f>
        <v>684816470.70000005</v>
      </c>
      <c r="K215" s="235">
        <f>K$171-SUM(AD$85:AD129)</f>
        <v>4.3295323848724365E-5</v>
      </c>
      <c r="L215" s="1303">
        <f>L$171-SUM(AE$85:AE129)-50348187.97</f>
        <v>2.671368420124054E-3</v>
      </c>
      <c r="M215" s="1302">
        <v>0</v>
      </c>
      <c r="N215" s="1303">
        <f>N$171-SUM(AG$85:AG129)</f>
        <v>-4.2696036398410797E-3</v>
      </c>
      <c r="O215" s="1301">
        <v>0</v>
      </c>
      <c r="P215" s="1303">
        <f>P$171-SUM(AI$85:AI129)-21195148.62</f>
        <v>0</v>
      </c>
      <c r="Q215" s="1303">
        <f>Q$171-SUM(AJ$85:AJ129)-12002689.12</f>
        <v>-2.1866485476493835E-3</v>
      </c>
      <c r="R215" s="1303">
        <f>R$171-SUM(AK$85:AK129)-68653350.61</f>
        <v>-1.8596649169921875E-4</v>
      </c>
      <c r="S215" s="1305">
        <f>S$171-SUM(AL$85:AL129)-11657331.74</f>
        <v>0</v>
      </c>
      <c r="T215" s="260">
        <f t="shared" si="181"/>
        <v>2467464494.9574165</v>
      </c>
    </row>
    <row r="216" spans="1:20">
      <c r="A216" s="225">
        <v>40596</v>
      </c>
      <c r="B216" s="75"/>
      <c r="C216" s="234">
        <f>C$171-SUM(V$85:V130)</f>
        <v>1.2896060943603516E-3</v>
      </c>
      <c r="D216" s="235">
        <f>D$171-SUM(W$85:W130)</f>
        <v>-1.8990635871887207E-3</v>
      </c>
      <c r="E216" s="235">
        <f>E$171-SUM(X$85:X130)</f>
        <v>-9.9999904632568359E-3</v>
      </c>
      <c r="F216" s="235">
        <f>F$171-SUM(Y$85:Y130)</f>
        <v>3.8781166076660156E-3</v>
      </c>
      <c r="G216" s="235">
        <f>G$171-SUM(Z$85:Z130)</f>
        <v>9.6917152404785156E-4</v>
      </c>
      <c r="H216" s="235">
        <f>H$171-SUM(AA$85:AA130)</f>
        <v>1021227196.5655249</v>
      </c>
      <c r="I216" s="235">
        <f>I$171-SUM(AB$85:AB130)</f>
        <v>649634738.89158142</v>
      </c>
      <c r="J216" s="235">
        <f>J$171-SUM(AC$85:AC130)</f>
        <v>641873077.63</v>
      </c>
      <c r="K216" s="235">
        <f>K$171-SUM(AD$85:AD130)</f>
        <v>4.3295323848724365E-5</v>
      </c>
      <c r="L216" s="1303">
        <f>L$171-SUM(AE$85:AE130)-50348187.97</f>
        <v>2.671368420124054E-3</v>
      </c>
      <c r="M216" s="1302">
        <v>0</v>
      </c>
      <c r="N216" s="1303">
        <f>N$171-SUM(AG$85:AG130)</f>
        <v>-4.2696036398410797E-3</v>
      </c>
      <c r="O216" s="1301">
        <v>0</v>
      </c>
      <c r="P216" s="1303">
        <f>P$171-SUM(AI$85:AI130)-21195148.62</f>
        <v>0</v>
      </c>
      <c r="Q216" s="1303">
        <f>Q$171-SUM(AJ$85:AJ130)-12002689.12</f>
        <v>-2.1866485476493835E-3</v>
      </c>
      <c r="R216" s="1303">
        <f>R$171-SUM(AK$85:AK130)-68653350.61</f>
        <v>-1.8596649169921875E-4</v>
      </c>
      <c r="S216" s="1305">
        <f>S$171-SUM(AL$85:AL130)-11657331.74</f>
        <v>0</v>
      </c>
      <c r="T216" s="260">
        <f t="shared" si="181"/>
        <v>2312735013.0774164</v>
      </c>
    </row>
    <row r="217" spans="1:20">
      <c r="A217" s="225">
        <v>40622</v>
      </c>
      <c r="B217" s="75"/>
      <c r="C217" s="234">
        <f>C$171-SUM(V$85:V131)</f>
        <v>1.2896060943603516E-3</v>
      </c>
      <c r="D217" s="235">
        <f>D$171-SUM(W$85:W131)</f>
        <v>-1.8990635871887207E-3</v>
      </c>
      <c r="E217" s="235">
        <f>E$171-SUM(X$85:X131)</f>
        <v>-9.9999904632568359E-3</v>
      </c>
      <c r="F217" s="235">
        <f>F$171-SUM(Y$85:Y131)</f>
        <v>3.8781166076660156E-3</v>
      </c>
      <c r="G217" s="235">
        <f>G$171-SUM(Z$85:Z131)</f>
        <v>9.6917152404785156E-4</v>
      </c>
      <c r="H217" s="235">
        <f>H$171-SUM(AA$85:AA131)</f>
        <v>1021227196.5655249</v>
      </c>
      <c r="I217" s="235">
        <f>I$171-SUM(AB$85:AB131)</f>
        <v>649634738.89158142</v>
      </c>
      <c r="J217" s="235">
        <f>J$171-SUM(AC$85:AC131)</f>
        <v>641873077.63</v>
      </c>
      <c r="K217" s="235">
        <f>K$171-SUM(AD$85:AD131)</f>
        <v>4.3295323848724365E-5</v>
      </c>
      <c r="L217" s="1303">
        <f>L$171-SUM(AE$85:AE131)-50348187.97</f>
        <v>2.671368420124054E-3</v>
      </c>
      <c r="M217" s="1302">
        <v>0</v>
      </c>
      <c r="N217" s="1303">
        <f>N$171-SUM(AG$85:AG131)</f>
        <v>-4.2696036398410797E-3</v>
      </c>
      <c r="O217" s="1301">
        <v>0</v>
      </c>
      <c r="P217" s="1303">
        <f>P$171-SUM(AI$85:AI131)-21195148.62</f>
        <v>0</v>
      </c>
      <c r="Q217" s="1303">
        <f>Q$171-SUM(AJ$85:AJ131)-12002689.12</f>
        <v>-2.1866485476493835E-3</v>
      </c>
      <c r="R217" s="1303">
        <f>R$171-SUM(AK$85:AK131)-68653350.61</f>
        <v>-1.8596649169921875E-4</v>
      </c>
      <c r="S217" s="1305">
        <f>S$171-SUM(AL$85:AL131)-11657331.74</f>
        <v>0</v>
      </c>
      <c r="T217" s="260">
        <f t="shared" si="181"/>
        <v>2312735013.0774164</v>
      </c>
    </row>
    <row r="218" spans="1:20">
      <c r="A218" s="225">
        <v>40653</v>
      </c>
      <c r="B218" s="75"/>
      <c r="C218" s="234">
        <f>C$171-SUM(V$85:V132)</f>
        <v>1.2896060943603516E-3</v>
      </c>
      <c r="D218" s="235">
        <f>D$171-SUM(W$85:W132)</f>
        <v>-1.8990635871887207E-3</v>
      </c>
      <c r="E218" s="235">
        <f>E$171-SUM(X$85:X132)</f>
        <v>-9.9999904632568359E-3</v>
      </c>
      <c r="F218" s="235">
        <f>F$171-SUM(Y$85:Y132)</f>
        <v>3.8781166076660156E-3</v>
      </c>
      <c r="G218" s="235">
        <f>G$171-SUM(Z$85:Z132)</f>
        <v>9.6917152404785156E-4</v>
      </c>
      <c r="H218" s="235">
        <f>H$171-SUM(AA$85:AA132)</f>
        <v>1021227196.5655249</v>
      </c>
      <c r="I218" s="235">
        <f>I$171-SUM(AB$85:AB132)</f>
        <v>649634738.89158142</v>
      </c>
      <c r="J218" s="235">
        <f>J$171-SUM(AC$85:AC132)</f>
        <v>641873077.63</v>
      </c>
      <c r="K218" s="235">
        <f>K$171-SUM(AD$85:AD132)</f>
        <v>4.3295323848724365E-5</v>
      </c>
      <c r="L218" s="1303">
        <f>L$171-SUM(AE$85:AE132)-50348187.97</f>
        <v>2.671368420124054E-3</v>
      </c>
      <c r="M218" s="1302">
        <v>0</v>
      </c>
      <c r="N218" s="1303">
        <f>N$171-SUM(AG$85:AG132)</f>
        <v>-4.2696036398410797E-3</v>
      </c>
      <c r="O218" s="1301">
        <v>0</v>
      </c>
      <c r="P218" s="1303">
        <f>P$171-SUM(AI$85:AI132)-21195148.62</f>
        <v>0</v>
      </c>
      <c r="Q218" s="1303">
        <f>Q$171-SUM(AJ$85:AJ132)-12002689.12</f>
        <v>-2.1866485476493835E-3</v>
      </c>
      <c r="R218" s="1303">
        <f>R$171-SUM(AK$85:AK132)-68653350.61</f>
        <v>-1.8596649169921875E-4</v>
      </c>
      <c r="S218" s="1305">
        <f>S$171-SUM(AL$85:AL132)-11657331.74</f>
        <v>0</v>
      </c>
      <c r="T218" s="260">
        <f t="shared" si="181"/>
        <v>2312735013.0774164</v>
      </c>
    </row>
    <row r="219" spans="1:20">
      <c r="A219" s="225">
        <v>40683</v>
      </c>
      <c r="B219" s="75"/>
      <c r="C219" s="234">
        <f>C$171-SUM(V$85:V133)</f>
        <v>1.2896060943603516E-3</v>
      </c>
      <c r="D219" s="235">
        <f>D$171-SUM(W$85:W133)</f>
        <v>-1.8990635871887207E-3</v>
      </c>
      <c r="E219" s="235">
        <f>E$171-SUM(X$85:X133)</f>
        <v>-9.9999904632568359E-3</v>
      </c>
      <c r="F219" s="235">
        <f>F$171-SUM(Y$85:Y133)</f>
        <v>3.8781166076660156E-3</v>
      </c>
      <c r="G219" s="235">
        <f>G$171-SUM(Z$85:Z133)</f>
        <v>9.6917152404785156E-4</v>
      </c>
      <c r="H219" s="235">
        <f>H$171-SUM(AA$85:AA133)</f>
        <v>956610899.75552499</v>
      </c>
      <c r="I219" s="235">
        <f>I$171-SUM(AB$85:AB133)</f>
        <v>608530280.21158135</v>
      </c>
      <c r="J219" s="235">
        <f>J$171-SUM(AC$85:AC133)</f>
        <v>601259723.97000003</v>
      </c>
      <c r="K219" s="235">
        <f>K$171-SUM(AD$85:AD133)</f>
        <v>4.3295323848724365E-5</v>
      </c>
      <c r="L219" s="1303">
        <f>L$171-SUM(AE$85:AE133)-50348187.97</f>
        <v>2.671368420124054E-3</v>
      </c>
      <c r="M219" s="1302">
        <v>0</v>
      </c>
      <c r="N219" s="1303">
        <f>N$171-SUM(AG$85:AG133)</f>
        <v>-4.2696036398410797E-3</v>
      </c>
      <c r="O219" s="1301">
        <v>0</v>
      </c>
      <c r="P219" s="1303">
        <f>P$171-SUM(AI$85:AI133)-21195148.62</f>
        <v>0</v>
      </c>
      <c r="Q219" s="1303">
        <f>Q$171-SUM(AJ$85:AJ133)-12002689.12</f>
        <v>-2.1866485476493835E-3</v>
      </c>
      <c r="R219" s="1303">
        <f>R$171-SUM(AK$85:AK133)-68653350.61</f>
        <v>-1.8596649169921875E-4</v>
      </c>
      <c r="S219" s="1305">
        <f>S$171-SUM(AL$85:AL133)-11657331.74</f>
        <v>0</v>
      </c>
      <c r="T219" s="260">
        <f t="shared" si="181"/>
        <v>2166400903.9274163</v>
      </c>
    </row>
    <row r="220" spans="1:20">
      <c r="A220" s="225">
        <v>40714</v>
      </c>
      <c r="B220" s="75"/>
      <c r="C220" s="234">
        <f>C$171-SUM(V$85:V134)</f>
        <v>1.2896060943603516E-3</v>
      </c>
      <c r="D220" s="235">
        <f>D$171-SUM(W$85:W134)</f>
        <v>-1.8990635871887207E-3</v>
      </c>
      <c r="E220" s="235">
        <f>E$171-SUM(X$85:X134)</f>
        <v>-9.9999904632568359E-3</v>
      </c>
      <c r="F220" s="235">
        <f>F$171-SUM(Y$85:Y134)</f>
        <v>3.8781166076660156E-3</v>
      </c>
      <c r="G220" s="235">
        <f>G$171-SUM(Z$85:Z134)</f>
        <v>9.6917152404785156E-4</v>
      </c>
      <c r="H220" s="235">
        <f>H$171-SUM(AA$85:AA134)</f>
        <v>956610899.75552499</v>
      </c>
      <c r="I220" s="235">
        <f>I$171-SUM(AB$85:AB134)</f>
        <v>608530280.21158135</v>
      </c>
      <c r="J220" s="235">
        <f>J$171-SUM(AC$85:AC134)</f>
        <v>601259723.97000003</v>
      </c>
      <c r="K220" s="235">
        <f>K$171-SUM(AD$85:AD134)</f>
        <v>4.3295323848724365E-5</v>
      </c>
      <c r="L220" s="1303">
        <f>L$171-SUM(AE$85:AE134)-50348187.97</f>
        <v>2.671368420124054E-3</v>
      </c>
      <c r="M220" s="1302">
        <v>0</v>
      </c>
      <c r="N220" s="1303">
        <f>N$171-SUM(AG$85:AG134)</f>
        <v>-4.2696036398410797E-3</v>
      </c>
      <c r="O220" s="1301">
        <v>0</v>
      </c>
      <c r="P220" s="1303">
        <f>P$171-SUM(AI$85:AI134)-21195148.62</f>
        <v>0</v>
      </c>
      <c r="Q220" s="1303">
        <f>Q$171-SUM(AJ$85:AJ134)-12002689.12</f>
        <v>-2.1866485476493835E-3</v>
      </c>
      <c r="R220" s="1303">
        <f>R$171-SUM(AK$85:AK134)-68653350.61</f>
        <v>-1.8596649169921875E-4</v>
      </c>
      <c r="S220" s="1305">
        <f>S$171-SUM(AL$85:AL134)-11657331.74</f>
        <v>0</v>
      </c>
      <c r="T220" s="260">
        <f t="shared" si="181"/>
        <v>2166400903.9274163</v>
      </c>
    </row>
    <row r="221" spans="1:20">
      <c r="A221" s="225">
        <v>40744</v>
      </c>
      <c r="B221" s="75"/>
      <c r="C221" s="234">
        <f>C$171-SUM(V$85:V135)</f>
        <v>1.2896060943603516E-3</v>
      </c>
      <c r="D221" s="235">
        <f>D$171-SUM(W$85:W135)</f>
        <v>-1.8990635871887207E-3</v>
      </c>
      <c r="E221" s="235">
        <f>E$171-SUM(X$85:X135)</f>
        <v>-9.9999904632568359E-3</v>
      </c>
      <c r="F221" s="235">
        <f>F$171-SUM(Y$85:Y135)</f>
        <v>3.8781166076660156E-3</v>
      </c>
      <c r="G221" s="235">
        <f>G$171-SUM(Z$85:Z135)</f>
        <v>9.6917152404785156E-4</v>
      </c>
      <c r="H221" s="235">
        <f>H$171-SUM(AA$85:AA135)</f>
        <v>956610899.75552499</v>
      </c>
      <c r="I221" s="235">
        <f>I$171-SUM(AB$85:AB135)</f>
        <v>608530280.21158135</v>
      </c>
      <c r="J221" s="235">
        <f>J$171-SUM(AC$85:AC135)</f>
        <v>601259723.97000003</v>
      </c>
      <c r="K221" s="235">
        <f>K$171-SUM(AD$85:AD135)</f>
        <v>4.3295323848724365E-5</v>
      </c>
      <c r="L221" s="1303">
        <f>L$171-SUM(AE$85:AE135)-50348187.97</f>
        <v>2.671368420124054E-3</v>
      </c>
      <c r="M221" s="1302">
        <v>0</v>
      </c>
      <c r="N221" s="1303">
        <f>N$171-SUM(AG$85:AG135)</f>
        <v>-4.2696036398410797E-3</v>
      </c>
      <c r="O221" s="1301">
        <v>0</v>
      </c>
      <c r="P221" s="1303">
        <f>P$171-SUM(AI$85:AI135)-21195148.62</f>
        <v>0</v>
      </c>
      <c r="Q221" s="1303">
        <f>Q$171-SUM(AJ$85:AJ135)-12002689.12</f>
        <v>-2.1866485476493835E-3</v>
      </c>
      <c r="R221" s="1303">
        <f>R$171-SUM(AK$85:AK135)-68653350.61</f>
        <v>-1.8596649169921875E-4</v>
      </c>
      <c r="S221" s="1305">
        <f>S$171-SUM(AL$85:AL135)-11657331.74</f>
        <v>0</v>
      </c>
      <c r="T221" s="260">
        <f t="shared" si="181"/>
        <v>2166400903.9274163</v>
      </c>
    </row>
    <row r="222" spans="1:20">
      <c r="A222" s="225">
        <v>40777</v>
      </c>
      <c r="B222" s="75"/>
      <c r="C222" s="234">
        <f>C$171-SUM(V$85:V136)</f>
        <v>1.2896060943603516E-3</v>
      </c>
      <c r="D222" s="235">
        <f>D$171-SUM(W$85:W136)</f>
        <v>-1.8990635871887207E-3</v>
      </c>
      <c r="E222" s="235">
        <f>E$171-SUM(X$85:X136)</f>
        <v>-9.9999904632568359E-3</v>
      </c>
      <c r="F222" s="235">
        <f>F$171-SUM(Y$85:Y136)</f>
        <v>3.8781166076660156E-3</v>
      </c>
      <c r="G222" s="235">
        <f>G$171-SUM(Z$85:Z136)</f>
        <v>9.6917152404785156E-4</v>
      </c>
      <c r="H222" s="235">
        <f>H$171-SUM(AA$85:AA136)</f>
        <v>895500579.23552489</v>
      </c>
      <c r="I222" s="235">
        <f>I$171-SUM(AB$85:AB136)</f>
        <v>569656083.32158136</v>
      </c>
      <c r="J222" s="235">
        <f>J$171-SUM(AC$85:AC136)</f>
        <v>562849985.52999997</v>
      </c>
      <c r="K222" s="235">
        <f>K$171-SUM(AD$85:AD136)</f>
        <v>4.3295323848724365E-5</v>
      </c>
      <c r="L222" s="1303">
        <f>L$171-SUM(AE$85:AE136)-50348187.97</f>
        <v>2.671368420124054E-3</v>
      </c>
      <c r="M222" s="1302">
        <v>0</v>
      </c>
      <c r="N222" s="1303">
        <f>N$171-SUM(AG$85:AG136)</f>
        <v>-4.2696036398410797E-3</v>
      </c>
      <c r="O222" s="1301">
        <v>0</v>
      </c>
      <c r="P222" s="1303">
        <f>P$171-SUM(AI$85:AI136)-21195148.62</f>
        <v>0</v>
      </c>
      <c r="Q222" s="1303">
        <f>Q$171-SUM(AJ$85:AJ136)-12002689.12</f>
        <v>-2.1866485476493835E-3</v>
      </c>
      <c r="R222" s="1303">
        <f>R$171-SUM(AK$85:AK136)-68653350.61</f>
        <v>-1.8596649169921875E-4</v>
      </c>
      <c r="S222" s="1305">
        <f>S$171-SUM(AL$85:AL136)-11657331.74</f>
        <v>0</v>
      </c>
      <c r="T222" s="260">
        <f t="shared" si="181"/>
        <v>2028006648.0774169</v>
      </c>
    </row>
    <row r="223" spans="1:20">
      <c r="A223" s="225">
        <v>40806</v>
      </c>
      <c r="B223" s="75"/>
      <c r="C223" s="234">
        <f>C$171-SUM(V$85:V137)</f>
        <v>1.2896060943603516E-3</v>
      </c>
      <c r="D223" s="235">
        <f>D$171-SUM(W$85:W137)</f>
        <v>-1.8990635871887207E-3</v>
      </c>
      <c r="E223" s="235">
        <f>E$171-SUM(X$85:X137)</f>
        <v>-9.9999904632568359E-3</v>
      </c>
      <c r="F223" s="235">
        <f>F$171-SUM(Y$85:Y137)</f>
        <v>3.8781166076660156E-3</v>
      </c>
      <c r="G223" s="235">
        <f>G$171-SUM(Z$85:Z137)</f>
        <v>9.6917152404785156E-4</v>
      </c>
      <c r="H223" s="235">
        <f>H$171-SUM(AA$85:AA137)</f>
        <v>895500579.23552489</v>
      </c>
      <c r="I223" s="235">
        <f>I$171-SUM(AB$85:AB137)</f>
        <v>569656083.32158136</v>
      </c>
      <c r="J223" s="235">
        <f>J$171-SUM(AC$85:AC137)</f>
        <v>562849985.52999997</v>
      </c>
      <c r="K223" s="235">
        <f>K$171-SUM(AD$85:AD137)</f>
        <v>4.3295323848724365E-5</v>
      </c>
      <c r="L223" s="1303">
        <f>L$171-SUM(AE$85:AE137)-50348187.97</f>
        <v>2.671368420124054E-3</v>
      </c>
      <c r="M223" s="1302">
        <v>0</v>
      </c>
      <c r="N223" s="1303">
        <f>N$171-SUM(AG$85:AG137)</f>
        <v>-4.2696036398410797E-3</v>
      </c>
      <c r="O223" s="1301">
        <v>0</v>
      </c>
      <c r="P223" s="1303">
        <f>P$171-SUM(AI$85:AI137)-21195148.62</f>
        <v>0</v>
      </c>
      <c r="Q223" s="1303">
        <f>Q$171-SUM(AJ$85:AJ137)-12002689.12</f>
        <v>-2.1866485476493835E-3</v>
      </c>
      <c r="R223" s="1303">
        <f>R$171-SUM(AK$85:AK137)-68653350.61</f>
        <v>-1.8596649169921875E-4</v>
      </c>
      <c r="S223" s="1305">
        <f>S$171-SUM(AL$85:AL137)-11657331.74</f>
        <v>0</v>
      </c>
      <c r="T223" s="260">
        <f t="shared" si="181"/>
        <v>2028006648.0774169</v>
      </c>
    </row>
    <row r="224" spans="1:20">
      <c r="A224" s="225">
        <v>40836</v>
      </c>
      <c r="B224" s="75"/>
      <c r="C224" s="234">
        <f>C$171-SUM(V$85:V138)</f>
        <v>1.2896060943603516E-3</v>
      </c>
      <c r="D224" s="235">
        <f>D$171-SUM(W$85:W138)</f>
        <v>-1.8990635871887207E-3</v>
      </c>
      <c r="E224" s="235">
        <f>E$171-SUM(X$85:X138)</f>
        <v>-9.9999904632568359E-3</v>
      </c>
      <c r="F224" s="235">
        <f>F$171-SUM(Y$85:Y138)</f>
        <v>3.8781166076660156E-3</v>
      </c>
      <c r="G224" s="235">
        <f>G$171-SUM(Z$85:Z138)</f>
        <v>9.6917152404785156E-4</v>
      </c>
      <c r="H224" s="235">
        <f>H$171-SUM(AA$85:AA138)</f>
        <v>895500579.23552489</v>
      </c>
      <c r="I224" s="235">
        <f>I$171-SUM(AB$85:AB138)</f>
        <v>569656083.32158136</v>
      </c>
      <c r="J224" s="235">
        <f>J$171-SUM(AC$85:AC138)</f>
        <v>562849985.52999997</v>
      </c>
      <c r="K224" s="235">
        <f>K$171-SUM(AD$85:AD138)</f>
        <v>4.3295323848724365E-5</v>
      </c>
      <c r="L224" s="1303">
        <f>L$171-SUM(AE$85:AE138)-50348187.97</f>
        <v>2.671368420124054E-3</v>
      </c>
      <c r="M224" s="1302">
        <v>0</v>
      </c>
      <c r="N224" s="1303">
        <f>N$171-SUM(AG$85:AG138)</f>
        <v>-4.2696036398410797E-3</v>
      </c>
      <c r="O224" s="1301">
        <v>0</v>
      </c>
      <c r="P224" s="1303">
        <f>P$171-SUM(AI$85:AI138)-21195148.62</f>
        <v>0</v>
      </c>
      <c r="Q224" s="1303">
        <f>Q$171-SUM(AJ$85:AJ138)-12002689.12</f>
        <v>-2.1866485476493835E-3</v>
      </c>
      <c r="R224" s="1303">
        <f>R$171-SUM(AK$85:AK138)-68653350.61</f>
        <v>-1.8596649169921875E-4</v>
      </c>
      <c r="S224" s="1305">
        <f>S$171-SUM(AL$85:AL138)-11657331.74</f>
        <v>0</v>
      </c>
      <c r="T224" s="260">
        <f t="shared" si="181"/>
        <v>2028006648.0774169</v>
      </c>
    </row>
    <row r="225" spans="1:20">
      <c r="A225" s="225">
        <v>40868</v>
      </c>
      <c r="B225" s="75"/>
      <c r="C225" s="234">
        <f>C$171-SUM(V$85:V139)</f>
        <v>1.2896060943603516E-3</v>
      </c>
      <c r="D225" s="235">
        <f>D$171-SUM(W$85:W139)</f>
        <v>-1.8990635871887207E-3</v>
      </c>
      <c r="E225" s="235">
        <f>E$171-SUM(X$85:X139)</f>
        <v>-9.9999904632568359E-3</v>
      </c>
      <c r="F225" s="235">
        <f>F$171-SUM(Y$85:Y139)</f>
        <v>3.8781166076660156E-3</v>
      </c>
      <c r="G225" s="235">
        <f>G$171-SUM(Z$85:Z139)</f>
        <v>9.6917152404785156E-4</v>
      </c>
      <c r="H225" s="235">
        <f>H$171-SUM(AA$85:AA139)</f>
        <v>837706006.38552499</v>
      </c>
      <c r="I225" s="235">
        <f>I$171-SUM(AB$85:AB139)</f>
        <v>532891137.80158138</v>
      </c>
      <c r="J225" s="235">
        <f>J$171-SUM(AC$85:AC139)</f>
        <v>526524297.69999999</v>
      </c>
      <c r="K225" s="235">
        <f>K$171-SUM(AD$85:AD139)</f>
        <v>4.3295323848724365E-5</v>
      </c>
      <c r="L225" s="1303">
        <f>L$171-SUM(AE$85:AE139)-50348187.97</f>
        <v>2.671368420124054E-3</v>
      </c>
      <c r="M225" s="1302">
        <v>0</v>
      </c>
      <c r="N225" s="1303">
        <f>N$171-SUM(AG$85:AG139)</f>
        <v>-4.2696036398410797E-3</v>
      </c>
      <c r="O225" s="1301">
        <v>0</v>
      </c>
      <c r="P225" s="1303">
        <f>P$171-SUM(AI$85:AI139)-21195148.62</f>
        <v>0</v>
      </c>
      <c r="Q225" s="1303">
        <f>Q$171-SUM(AJ$85:AJ139)-12002689.12</f>
        <v>-2.1866485476493835E-3</v>
      </c>
      <c r="R225" s="1303">
        <f>R$171-SUM(AK$85:AK139)-68653350.61</f>
        <v>-1.8596649169921875E-4</v>
      </c>
      <c r="S225" s="1305">
        <f>S$171-SUM(AL$85:AL139)-11657331.74</f>
        <v>0</v>
      </c>
      <c r="T225" s="260">
        <f t="shared" si="181"/>
        <v>1897121441.8774171</v>
      </c>
    </row>
    <row r="226" spans="1:20">
      <c r="A226" s="225">
        <v>40897</v>
      </c>
      <c r="B226" s="75"/>
      <c r="C226" s="234">
        <f>C$171-SUM(V$85:V140)</f>
        <v>1.2896060943603516E-3</v>
      </c>
      <c r="D226" s="235">
        <f>D$171-SUM(W$85:W140)</f>
        <v>-1.8990635871887207E-3</v>
      </c>
      <c r="E226" s="235">
        <f>E$171-SUM(X$85:X140)</f>
        <v>-9.9999904632568359E-3</v>
      </c>
      <c r="F226" s="235">
        <f>F$171-SUM(Y$85:Y140)</f>
        <v>3.8781166076660156E-3</v>
      </c>
      <c r="G226" s="235">
        <f>G$171-SUM(Z$85:Z140)</f>
        <v>9.6917152404785156E-4</v>
      </c>
      <c r="H226" s="235">
        <f>H$171-SUM(AA$85:AA140)</f>
        <v>837706006.38552499</v>
      </c>
      <c r="I226" s="235">
        <f>I$171-SUM(AB$85:AB140)</f>
        <v>532891137.80158138</v>
      </c>
      <c r="J226" s="235">
        <f>J$171-SUM(AC$85:AC140)</f>
        <v>526524297.69999999</v>
      </c>
      <c r="K226" s="235">
        <f>K$171-SUM(AD$85:AD140)</f>
        <v>4.3295323848724365E-5</v>
      </c>
      <c r="L226" s="1303">
        <f>L$171-SUM(AE$85:AE140)-50348187.97</f>
        <v>2.671368420124054E-3</v>
      </c>
      <c r="M226" s="1302">
        <v>0</v>
      </c>
      <c r="N226" s="1303">
        <f>N$171-SUM(AG$85:AG140)</f>
        <v>-4.2696036398410797E-3</v>
      </c>
      <c r="O226" s="1301">
        <v>0</v>
      </c>
      <c r="P226" s="1303">
        <f>P$171-SUM(AI$85:AI140)-21195148.62</f>
        <v>0</v>
      </c>
      <c r="Q226" s="1303">
        <f>Q$171-SUM(AJ$85:AJ140)-12002689.12</f>
        <v>-2.1866485476493835E-3</v>
      </c>
      <c r="R226" s="1303">
        <f>R$171-SUM(AK$85:AK140)-68653350.61</f>
        <v>-1.8596649169921875E-4</v>
      </c>
      <c r="S226" s="1305">
        <f>S$171-SUM(AL$85:AL140)-11657331.74</f>
        <v>0</v>
      </c>
      <c r="T226" s="260">
        <f t="shared" si="181"/>
        <v>1897121441.8774171</v>
      </c>
    </row>
    <row r="227" spans="1:20">
      <c r="A227" s="225">
        <v>40928</v>
      </c>
      <c r="B227" s="75"/>
      <c r="C227" s="234">
        <f>C$171-SUM(V$85:V141)</f>
        <v>1.2896060943603516E-3</v>
      </c>
      <c r="D227" s="235">
        <f>D$171-SUM(W$85:W141)</f>
        <v>-1.8990635871887207E-3</v>
      </c>
      <c r="E227" s="235">
        <f>E$171-SUM(X$85:X141)</f>
        <v>-9.9999904632568359E-3</v>
      </c>
      <c r="F227" s="235">
        <f>F$171-SUM(Y$85:Y141)</f>
        <v>3.8781166076660156E-3</v>
      </c>
      <c r="G227" s="235">
        <f>G$171-SUM(Z$85:Z141)</f>
        <v>9.6917152404785156E-4</v>
      </c>
      <c r="H227" s="235">
        <f>H$171-SUM(AA$85:AA141)</f>
        <v>837706006.38552499</v>
      </c>
      <c r="I227" s="235">
        <f>I$171-SUM(AB$85:AB141)</f>
        <v>532891137.80158138</v>
      </c>
      <c r="J227" s="235">
        <f>J$171-SUM(AC$85:AC141)</f>
        <v>526524297.69999999</v>
      </c>
      <c r="K227" s="235">
        <f>K$171-SUM(AD$85:AD141)</f>
        <v>4.3295323848724365E-5</v>
      </c>
      <c r="L227" s="1303">
        <f>L$171-SUM(AE$85:AE141)-50348187.97</f>
        <v>2.671368420124054E-3</v>
      </c>
      <c r="M227" s="1302">
        <v>0</v>
      </c>
      <c r="N227" s="1303">
        <f>N$171-SUM(AG$85:AG141)</f>
        <v>-4.2696036398410797E-3</v>
      </c>
      <c r="O227" s="1301">
        <v>0</v>
      </c>
      <c r="P227" s="1303">
        <f>P$171-SUM(AI$85:AI141)-21195148.62</f>
        <v>0</v>
      </c>
      <c r="Q227" s="1303">
        <f>Q$171-SUM(AJ$85:AJ141)-12002689.12</f>
        <v>-2.1866485476493835E-3</v>
      </c>
      <c r="R227" s="1303">
        <f>R$171-SUM(AK$85:AK141)-68653350.61</f>
        <v>-1.8596649169921875E-4</v>
      </c>
      <c r="S227" s="1305">
        <f>S$171-SUM(AL$85:AL141)-11657331.74</f>
        <v>0</v>
      </c>
      <c r="T227" s="260">
        <f t="shared" si="181"/>
        <v>1897121441.8774171</v>
      </c>
    </row>
    <row r="228" spans="1:20">
      <c r="A228" s="225">
        <v>40960</v>
      </c>
      <c r="B228" s="75"/>
      <c r="C228" s="234">
        <f>C$171-SUM(V$85:V142)</f>
        <v>1.2896060943603516E-3</v>
      </c>
      <c r="D228" s="235">
        <f>D$171-SUM(W$85:W142)</f>
        <v>-1.8990635871887207E-3</v>
      </c>
      <c r="E228" s="235">
        <f>E$171-SUM(X$85:X142)</f>
        <v>-9.9999904632568359E-3</v>
      </c>
      <c r="F228" s="235">
        <f>F$171-SUM(Y$85:Y142)</f>
        <v>3.8781166076660156E-3</v>
      </c>
      <c r="G228" s="235">
        <f>G$171-SUM(Z$85:Z142)</f>
        <v>9.6917152404785156E-4</v>
      </c>
      <c r="H228" s="235">
        <f>H$171-SUM(AA$85:AA142)</f>
        <v>783047274.06552494</v>
      </c>
      <c r="I228" s="235">
        <f>I$171-SUM(AB$85:AB142)</f>
        <v>498120999.07158136</v>
      </c>
      <c r="J228" s="235">
        <f>J$171-SUM(AC$85:AC142)</f>
        <v>492169583.24000001</v>
      </c>
      <c r="K228" s="235">
        <f>K$171-SUM(AD$85:AD142)</f>
        <v>4.3295323848724365E-5</v>
      </c>
      <c r="L228" s="1303">
        <f>L$171-SUM(AE$85:AE142)-50348187.97</f>
        <v>2.671368420124054E-3</v>
      </c>
      <c r="M228" s="1302">
        <v>0</v>
      </c>
      <c r="N228" s="1303">
        <f>N$171-SUM(AG$85:AG142)</f>
        <v>-4.2696036398410797E-3</v>
      </c>
      <c r="O228" s="1301">
        <v>0</v>
      </c>
      <c r="P228" s="1303">
        <f>P$171-SUM(AI$85:AI142)-21195148.62</f>
        <v>0</v>
      </c>
      <c r="Q228" s="1303">
        <f>Q$171-SUM(AJ$85:AJ142)-12002689.12</f>
        <v>-2.1866485476493835E-3</v>
      </c>
      <c r="R228" s="1303">
        <f>R$171-SUM(AK$85:AK142)-68653350.61</f>
        <v>-1.8596649169921875E-4</v>
      </c>
      <c r="S228" s="1305">
        <f>S$171-SUM(AL$85:AL142)-11657331.74</f>
        <v>0</v>
      </c>
      <c r="T228" s="260">
        <f t="shared" si="181"/>
        <v>1773337856.3674169</v>
      </c>
    </row>
    <row r="229" spans="1:20">
      <c r="A229" s="225">
        <v>40988</v>
      </c>
      <c r="B229" s="75"/>
      <c r="C229" s="234">
        <f>C$171-SUM(V$85:V143)</f>
        <v>1.2896060943603516E-3</v>
      </c>
      <c r="D229" s="235">
        <f>D$171-SUM(W$85:W143)</f>
        <v>-1.8990635871887207E-3</v>
      </c>
      <c r="E229" s="235">
        <f>E$171-SUM(X$85:X143)</f>
        <v>-9.9999904632568359E-3</v>
      </c>
      <c r="F229" s="235">
        <f>F$171-SUM(Y$85:Y143)</f>
        <v>3.8781166076660156E-3</v>
      </c>
      <c r="G229" s="235">
        <f>G$171-SUM(Z$85:Z143)</f>
        <v>9.6917152404785156E-4</v>
      </c>
      <c r="H229" s="235">
        <f>H$171-SUM(AA$85:AA143)</f>
        <v>783047274.06552494</v>
      </c>
      <c r="I229" s="235">
        <f>I$171-SUM(AB$85:AB143)</f>
        <v>498120999.07158136</v>
      </c>
      <c r="J229" s="235">
        <f>J$171-SUM(AC$85:AC143)</f>
        <v>492169583.24000001</v>
      </c>
      <c r="K229" s="235">
        <f>K$171-SUM(AD$85:AD143)</f>
        <v>4.3295323848724365E-5</v>
      </c>
      <c r="L229" s="1303">
        <f>L$171-SUM(AE$85:AE143)-50348187.97</f>
        <v>2.671368420124054E-3</v>
      </c>
      <c r="M229" s="1302">
        <v>0</v>
      </c>
      <c r="N229" s="1303">
        <f>N$171-SUM(AG$85:AG143)</f>
        <v>-4.2696036398410797E-3</v>
      </c>
      <c r="O229" s="1301">
        <v>0</v>
      </c>
      <c r="P229" s="1303">
        <f>P$171-SUM(AI$85:AI143)-21195148.62</f>
        <v>0</v>
      </c>
      <c r="Q229" s="1303">
        <f>Q$171-SUM(AJ$85:AJ143)-12002689.12</f>
        <v>-2.1866485476493835E-3</v>
      </c>
      <c r="R229" s="1303">
        <f>R$171-SUM(AK$85:AK143)-68653350.61</f>
        <v>-1.8596649169921875E-4</v>
      </c>
      <c r="S229" s="1305">
        <f>S$171-SUM(AL$85:AL143)-11657331.74</f>
        <v>0</v>
      </c>
      <c r="T229" s="260">
        <f t="shared" si="181"/>
        <v>1773337856.3674169</v>
      </c>
    </row>
    <row r="230" spans="1:20">
      <c r="A230" s="225">
        <v>41019</v>
      </c>
      <c r="B230" s="75"/>
      <c r="C230" s="234">
        <f>C$171-SUM(V$85:V144)</f>
        <v>1.2896060943603516E-3</v>
      </c>
      <c r="D230" s="235">
        <f>D$171-SUM(W$85:W144)</f>
        <v>-1.8990635871887207E-3</v>
      </c>
      <c r="E230" s="235">
        <f>E$171-SUM(X$85:X144)</f>
        <v>-9.9999904632568359E-3</v>
      </c>
      <c r="F230" s="235">
        <f>F$171-SUM(Y$85:Y144)</f>
        <v>3.8781166076660156E-3</v>
      </c>
      <c r="G230" s="235">
        <f>G$171-SUM(Z$85:Z144)</f>
        <v>9.6917152404785156E-4</v>
      </c>
      <c r="H230" s="235">
        <f>H$171-SUM(AA$85:AA144)</f>
        <v>783047274.06552494</v>
      </c>
      <c r="I230" s="235">
        <f>I$171-SUM(AB$85:AB144)</f>
        <v>498120999.07158136</v>
      </c>
      <c r="J230" s="235">
        <f>J$171-SUM(AC$85:AC144)</f>
        <v>492169583.24000001</v>
      </c>
      <c r="K230" s="235">
        <f>K$171-SUM(AD$85:AD144)</f>
        <v>4.3295323848724365E-5</v>
      </c>
      <c r="L230" s="1303">
        <f>L$171-SUM(AE$85:AE144)-50348187.97</f>
        <v>2.671368420124054E-3</v>
      </c>
      <c r="M230" s="1302">
        <v>0</v>
      </c>
      <c r="N230" s="1303">
        <f>N$171-SUM(AG$85:AG144)</f>
        <v>-4.2696036398410797E-3</v>
      </c>
      <c r="O230" s="1301">
        <v>0</v>
      </c>
      <c r="P230" s="1303">
        <f>P$171-SUM(AI$85:AI144)-21195148.62</f>
        <v>0</v>
      </c>
      <c r="Q230" s="1303">
        <f>Q$171-SUM(AJ$85:AJ144)-12002689.12</f>
        <v>-2.1866485476493835E-3</v>
      </c>
      <c r="R230" s="1303">
        <f>R$171-SUM(AK$85:AK144)-68653350.61</f>
        <v>-1.8596649169921875E-4</v>
      </c>
      <c r="S230" s="1305">
        <f>S$171-SUM(AL$85:AL144)-11657331.74</f>
        <v>0</v>
      </c>
      <c r="T230" s="260">
        <f t="shared" si="181"/>
        <v>1773337856.3674169</v>
      </c>
    </row>
    <row r="231" spans="1:20">
      <c r="A231" s="225">
        <v>41050</v>
      </c>
      <c r="B231" s="75"/>
      <c r="C231" s="234">
        <f>C$171-SUM(V$85:V145)</f>
        <v>1.2896060943603516E-3</v>
      </c>
      <c r="D231" s="235">
        <f>D$171-SUM(W$85:W145)</f>
        <v>-1.8990635871887207E-3</v>
      </c>
      <c r="E231" s="235">
        <f>E$171-SUM(X$85:X145)</f>
        <v>-9.9999904632568359E-3</v>
      </c>
      <c r="F231" s="235">
        <f>F$171-SUM(Y$85:Y145)</f>
        <v>3.8781166076660156E-3</v>
      </c>
      <c r="G231" s="235">
        <f>G$171-SUM(Z$85:Z145)</f>
        <v>9.6917152404785156E-4</v>
      </c>
      <c r="H231" s="1304">
        <f>H$171-SUM(AA$85:AA145)-731354236.62</f>
        <v>-4.4749975204467773E-3</v>
      </c>
      <c r="I231" s="1304">
        <f>I$171-SUM(AB$85:AB145)-465237432.12</f>
        <v>1.5813708305358887E-3</v>
      </c>
      <c r="J231" s="1304">
        <f>J$171-SUM(AC$85:AC145)-459678900.31</f>
        <v>0</v>
      </c>
      <c r="K231" s="235">
        <f>K$171-SUM(AD$85:AD145)</f>
        <v>4.3295323848724365E-5</v>
      </c>
      <c r="L231" s="1303">
        <f>L$171-SUM(AE$85:AE145)-50348187.97</f>
        <v>2.671368420124054E-3</v>
      </c>
      <c r="M231" s="1302">
        <v>0</v>
      </c>
      <c r="N231" s="1303">
        <f>N$171-SUM(AG$85:AG145)</f>
        <v>-4.2696036398410797E-3</v>
      </c>
      <c r="O231" s="1301">
        <v>0</v>
      </c>
      <c r="P231" s="1303">
        <f>P$171-SUM(AI$85:AI145)-21195148.62</f>
        <v>0</v>
      </c>
      <c r="Q231" s="1303">
        <f>Q$171-SUM(AJ$85:AJ145)-12002689.12</f>
        <v>-2.1866485476493835E-3</v>
      </c>
      <c r="R231" s="1303">
        <f>R$171-SUM(AK$85:AK145)-68653350.61</f>
        <v>-1.8596649169921875E-4</v>
      </c>
      <c r="S231" s="1305">
        <f>S$171-SUM(AL$85:AL145)-11657331.74</f>
        <v>0</v>
      </c>
      <c r="T231" s="260">
        <f t="shared" si="181"/>
        <v>-1.258334144949913E-2</v>
      </c>
    </row>
    <row r="232" spans="1:20">
      <c r="A232" s="225">
        <v>41080</v>
      </c>
      <c r="B232" s="75"/>
      <c r="C232" s="234">
        <f>C$171-SUM(V$85:V146)</f>
        <v>1.2896060943603516E-3</v>
      </c>
      <c r="D232" s="235">
        <f>D$171-SUM(W$85:W146)</f>
        <v>-1.8990635871887207E-3</v>
      </c>
      <c r="E232" s="235">
        <f>E$171-SUM(X$85:X146)</f>
        <v>-9.9999904632568359E-3</v>
      </c>
      <c r="F232" s="235">
        <f>F$171-SUM(Y$85:Y146)</f>
        <v>3.8781166076660156E-3</v>
      </c>
      <c r="G232" s="235">
        <f>G$171-SUM(Z$85:Z146)</f>
        <v>9.6917152404785156E-4</v>
      </c>
      <c r="H232" s="1304">
        <f>H$171-SUM(AA$85:AA146)-731354236.62</f>
        <v>-4.4749975204467773E-3</v>
      </c>
      <c r="I232" s="1304">
        <f>I$171-SUM(AB$85:AB146)-465237432.12</f>
        <v>1.5813708305358887E-3</v>
      </c>
      <c r="J232" s="1304">
        <f>J$171-SUM(AC$85:AC146)-459678900.31</f>
        <v>0</v>
      </c>
      <c r="K232" s="235">
        <f>K$171-SUM(AD$85:AD146)</f>
        <v>4.3295323848724365E-5</v>
      </c>
      <c r="L232" s="1303">
        <f>L$171-SUM(AE$85:AE146)-50348187.97</f>
        <v>2.671368420124054E-3</v>
      </c>
      <c r="M232" s="1302">
        <v>0</v>
      </c>
      <c r="N232" s="1303">
        <f>N$171-SUM(AG$85:AG146)</f>
        <v>-4.2696036398410797E-3</v>
      </c>
      <c r="O232" s="1301">
        <v>0</v>
      </c>
      <c r="P232" s="1303">
        <f>P$171-SUM(AI$85:AI146)-21195148.62</f>
        <v>0</v>
      </c>
      <c r="Q232" s="1303">
        <f>Q$171-SUM(AJ$85:AJ146)-12002689.12</f>
        <v>-2.1866485476493835E-3</v>
      </c>
      <c r="R232" s="1303">
        <f>R$171-SUM(AK$85:AK146)-68653350.61</f>
        <v>-1.8596649169921875E-4</v>
      </c>
      <c r="S232" s="1305">
        <f>S$171-SUM(AL$85:AL146)-11657331.74</f>
        <v>0</v>
      </c>
      <c r="T232" s="260">
        <f t="shared" si="181"/>
        <v>-1.258334144949913E-2</v>
      </c>
    </row>
    <row r="233" spans="1:20">
      <c r="A233" s="225">
        <v>41110</v>
      </c>
      <c r="B233" s="75"/>
      <c r="C233" s="234">
        <f>C$171-SUM(V$85:V147)</f>
        <v>1.2896060943603516E-3</v>
      </c>
      <c r="D233" s="235">
        <f>D$171-SUM(W$85:W147)</f>
        <v>-1.8990635871887207E-3</v>
      </c>
      <c r="E233" s="235">
        <f>E$171-SUM(X$85:X147)</f>
        <v>-9.9999904632568359E-3</v>
      </c>
      <c r="F233" s="235">
        <f>F$171-SUM(Y$85:Y147)</f>
        <v>3.8781166076660156E-3</v>
      </c>
      <c r="G233" s="235">
        <f>G$171-SUM(Z$85:Z147)</f>
        <v>9.6917152404785156E-4</v>
      </c>
      <c r="H233" s="1304">
        <f>H$171-SUM(AA$85:AA147)-731354236.62</f>
        <v>-4.4749975204467773E-3</v>
      </c>
      <c r="I233" s="1304">
        <f>I$171-SUM(AB$85:AB147)-465237432.12</f>
        <v>1.5813708305358887E-3</v>
      </c>
      <c r="J233" s="1304">
        <f>J$171-SUM(AC$85:AC147)-459678900.31</f>
        <v>0</v>
      </c>
      <c r="K233" s="235">
        <f>K$171-SUM(AD$85:AD147)</f>
        <v>4.3295323848724365E-5</v>
      </c>
      <c r="L233" s="1303">
        <f>L$171-SUM(AE$85:AE147)-50348187.97</f>
        <v>2.671368420124054E-3</v>
      </c>
      <c r="M233" s="1302">
        <v>0</v>
      </c>
      <c r="N233" s="1303">
        <f>N$171-SUM(AG$85:AG147)</f>
        <v>-4.2696036398410797E-3</v>
      </c>
      <c r="O233" s="1301">
        <v>0</v>
      </c>
      <c r="P233" s="1303">
        <f>P$171-SUM(AI$85:AI147)-21195148.62</f>
        <v>0</v>
      </c>
      <c r="Q233" s="1303">
        <f>Q$171-SUM(AJ$85:AJ147)-12002689.12</f>
        <v>-2.1866485476493835E-3</v>
      </c>
      <c r="R233" s="1303">
        <f>R$171-SUM(AK$85:AK147)-68653350.61</f>
        <v>-1.8596649169921875E-4</v>
      </c>
      <c r="S233" s="1305">
        <f>S$171-SUM(AL$85:AL147)-11657331.74</f>
        <v>0</v>
      </c>
      <c r="T233" s="260">
        <f t="shared" si="181"/>
        <v>-1.258334144949913E-2</v>
      </c>
    </row>
    <row r="234" spans="1:20">
      <c r="A234" s="225">
        <v>41141</v>
      </c>
      <c r="B234" s="75"/>
      <c r="C234" s="234">
        <f>C$171-SUM(V$85:V148)</f>
        <v>1.2896060943603516E-3</v>
      </c>
      <c r="D234" s="235">
        <f>D$171-SUM(W$85:W148)</f>
        <v>-1.8990635871887207E-3</v>
      </c>
      <c r="E234" s="235">
        <f>E$171-SUM(X$85:X148)</f>
        <v>-9.9999904632568359E-3</v>
      </c>
      <c r="F234" s="235">
        <f>F$171-SUM(Y$85:Y148)</f>
        <v>3.8781166076660156E-3</v>
      </c>
      <c r="G234" s="235">
        <f>G$171-SUM(Z$85:Z148)</f>
        <v>9.6917152404785156E-4</v>
      </c>
      <c r="H234" s="1304">
        <f>H$171-SUM(AA$85:AA148)-731354236.62</f>
        <v>-4.4749975204467773E-3</v>
      </c>
      <c r="I234" s="1304">
        <f>I$171-SUM(AB$85:AB148)-465237432.12</f>
        <v>1.5813708305358887E-3</v>
      </c>
      <c r="J234" s="1304">
        <f>J$171-SUM(AC$85:AC148)-459678900.31</f>
        <v>0</v>
      </c>
      <c r="K234" s="235">
        <f>K$171-SUM(AD$85:AD148)</f>
        <v>4.3295323848724365E-5</v>
      </c>
      <c r="L234" s="1303">
        <f>L$171-SUM(AE$85:AE148)-50348187.97</f>
        <v>2.671368420124054E-3</v>
      </c>
      <c r="M234" s="1302">
        <v>0</v>
      </c>
      <c r="N234" s="1303">
        <f>N$171-SUM(AG$85:AG148)</f>
        <v>-4.2696036398410797E-3</v>
      </c>
      <c r="O234" s="1301">
        <v>0</v>
      </c>
      <c r="P234" s="1303">
        <f>P$171-SUM(AI$85:AI148)-21195148.62</f>
        <v>0</v>
      </c>
      <c r="Q234" s="1303">
        <f>Q$171-SUM(AJ$85:AJ148)-12002689.12</f>
        <v>-2.1866485476493835E-3</v>
      </c>
      <c r="R234" s="1303">
        <f>R$171-SUM(AK$85:AK148)-68653350.61</f>
        <v>-1.8596649169921875E-4</v>
      </c>
      <c r="S234" s="1305">
        <f>S$171-SUM(AL$85:AL148)-11657331.74</f>
        <v>0</v>
      </c>
      <c r="T234" s="260">
        <f t="shared" si="181"/>
        <v>-1.258334144949913E-2</v>
      </c>
    </row>
    <row r="235" spans="1:20">
      <c r="A235" s="225">
        <v>41172</v>
      </c>
      <c r="B235" s="75"/>
      <c r="C235" s="234">
        <f>C$171-SUM(V$85:V149)</f>
        <v>1.2896060943603516E-3</v>
      </c>
      <c r="D235" s="235">
        <f>D$171-SUM(W$85:W149)</f>
        <v>-1.8990635871887207E-3</v>
      </c>
      <c r="E235" s="235">
        <f>E$171-SUM(X$85:X149)</f>
        <v>-9.9999904632568359E-3</v>
      </c>
      <c r="F235" s="235">
        <f>F$171-SUM(Y$85:Y149)</f>
        <v>3.8781166076660156E-3</v>
      </c>
      <c r="G235" s="235">
        <f>G$171-SUM(Z$85:Z149)</f>
        <v>9.6917152404785156E-4</v>
      </c>
      <c r="H235" s="1304">
        <f>H$171-SUM(AA$85:AA149)-731354236.62</f>
        <v>-4.4749975204467773E-3</v>
      </c>
      <c r="I235" s="1304">
        <f>I$171-SUM(AB$85:AB149)-465237432.12</f>
        <v>1.5813708305358887E-3</v>
      </c>
      <c r="J235" s="1304">
        <f>J$171-SUM(AC$85:AC149)-459678900.31</f>
        <v>0</v>
      </c>
      <c r="K235" s="235">
        <f>K$171-SUM(AD$85:AD149)</f>
        <v>4.3295323848724365E-5</v>
      </c>
      <c r="L235" s="1303">
        <f>L$171-SUM(AE$85:AE149)-50348187.97</f>
        <v>2.671368420124054E-3</v>
      </c>
      <c r="M235" s="1302">
        <v>0</v>
      </c>
      <c r="N235" s="1303">
        <f>N$171-SUM(AG$85:AG149)</f>
        <v>-4.2696036398410797E-3</v>
      </c>
      <c r="O235" s="1301">
        <v>0</v>
      </c>
      <c r="P235" s="1303">
        <f>P$171-SUM(AI$85:AI149)-21195148.62</f>
        <v>0</v>
      </c>
      <c r="Q235" s="1303">
        <f>Q$171-SUM(AJ$85:AJ149)-12002689.12</f>
        <v>-2.1866485476493835E-3</v>
      </c>
      <c r="R235" s="1303">
        <f>R$171-SUM(AK$85:AK149)-68653350.61</f>
        <v>-1.8596649169921875E-4</v>
      </c>
      <c r="S235" s="1305">
        <f>S$171-SUM(AL$85:AL149)-11657331.74</f>
        <v>0</v>
      </c>
      <c r="T235" s="260">
        <f>SUM(C235:S235)</f>
        <v>-1.258334144949913E-2</v>
      </c>
    </row>
    <row r="236" spans="1:20">
      <c r="A236" s="225">
        <v>41202</v>
      </c>
      <c r="B236" s="75"/>
      <c r="C236" s="234">
        <f>C$171-SUM(V$85:V150)</f>
        <v>1.2896060943603516E-3</v>
      </c>
      <c r="D236" s="235">
        <f>D$171-SUM(W$85:W150)</f>
        <v>-1.8990635871887207E-3</v>
      </c>
      <c r="E236" s="235">
        <f>E$171-SUM(X$85:X150)</f>
        <v>-9.9999904632568359E-3</v>
      </c>
      <c r="F236" s="235">
        <f>F$171-SUM(Y$85:Y150)</f>
        <v>3.8781166076660156E-3</v>
      </c>
      <c r="G236" s="235">
        <f>G$171-SUM(Z$85:Z150)</f>
        <v>9.6917152404785156E-4</v>
      </c>
      <c r="H236" s="1304">
        <f>H$171-SUM(AA$85:AA150)-731354236.62</f>
        <v>-4.4749975204467773E-3</v>
      </c>
      <c r="I236" s="1304">
        <f>I$171-SUM(AB$85:AB150)-465237432.12</f>
        <v>1.5813708305358887E-3</v>
      </c>
      <c r="J236" s="1304">
        <f>J$171-SUM(AC$85:AC150)-459678900.31</f>
        <v>0</v>
      </c>
      <c r="K236" s="235">
        <f>K$171-SUM(AD$85:AD150)</f>
        <v>4.3295323848724365E-5</v>
      </c>
      <c r="L236" s="1303">
        <f>L$171-SUM(AE$85:AE150)-50348187.97</f>
        <v>2.671368420124054E-3</v>
      </c>
      <c r="M236" s="1302">
        <v>0</v>
      </c>
      <c r="N236" s="1303">
        <f>N$171-SUM(AG$85:AG150)</f>
        <v>-4.2696036398410797E-3</v>
      </c>
      <c r="O236" s="1301">
        <v>0</v>
      </c>
      <c r="P236" s="1303">
        <f>P$171-SUM(AI$85:AI150)-21195148.62</f>
        <v>0</v>
      </c>
      <c r="Q236" s="1303">
        <f>Q$171-SUM(AJ$85:AJ150)-12002689.12</f>
        <v>-2.1866485476493835E-3</v>
      </c>
      <c r="R236" s="1303">
        <f>R$171-SUM(AK$85:AK150)-68653350.61</f>
        <v>-1.8596649169921875E-4</v>
      </c>
      <c r="S236" s="1305">
        <f>S$171-SUM(AL$85:AL150)-11657331.74</f>
        <v>0</v>
      </c>
      <c r="T236" s="260">
        <f>SUM(C236:S236)</f>
        <v>-1.258334144949913E-2</v>
      </c>
    </row>
    <row r="237" spans="1:20">
      <c r="A237" s="225">
        <v>41233</v>
      </c>
      <c r="B237" s="75"/>
      <c r="C237" s="234">
        <f>C$171-SUM(V$85:V151)</f>
        <v>1.2896060943603516E-3</v>
      </c>
      <c r="D237" s="235">
        <f>D$171-SUM(W$85:W151)</f>
        <v>-1.8990635871887207E-3</v>
      </c>
      <c r="E237" s="235">
        <f>E$171-SUM(X$85:X151)</f>
        <v>-9.9999904632568359E-3</v>
      </c>
      <c r="F237" s="235">
        <f>F$171-SUM(Y$85:Y151)</f>
        <v>3.8781166076660156E-3</v>
      </c>
      <c r="G237" s="235">
        <f>G$171-SUM(Z$85:Z151)</f>
        <v>9.6917152404785156E-4</v>
      </c>
      <c r="H237" s="1304">
        <f>H$171-SUM(AA$85:AA151)-731354236.62</f>
        <v>-4.4749975204467773E-3</v>
      </c>
      <c r="I237" s="1304">
        <f>I$171-SUM(AB$85:AB151)-465237432.12</f>
        <v>1.5813708305358887E-3</v>
      </c>
      <c r="J237" s="1304">
        <f>J$171-SUM(AC$85:AC151)-459678900.31</f>
        <v>0</v>
      </c>
      <c r="K237" s="235">
        <f>K$171-SUM(AD$85:AD151)</f>
        <v>4.3295323848724365E-5</v>
      </c>
      <c r="L237" s="1303">
        <f>L$171-SUM(AE$85:AE151)-50348187.97</f>
        <v>2.671368420124054E-3</v>
      </c>
      <c r="M237" s="1302">
        <v>0</v>
      </c>
      <c r="N237" s="1303">
        <f>N$171-SUM(AG$85:AG151)</f>
        <v>-4.2696036398410797E-3</v>
      </c>
      <c r="O237" s="1301">
        <v>0</v>
      </c>
      <c r="P237" s="1303">
        <f>P$171-SUM(AI$85:AI151)-21195148.62</f>
        <v>0</v>
      </c>
      <c r="Q237" s="1303">
        <f>Q$171-SUM(AJ$85:AJ151)-12002689.12</f>
        <v>-2.1866485476493835E-3</v>
      </c>
      <c r="R237" s="1303">
        <f>R$171-SUM(AK$85:AK151)-68653350.61</f>
        <v>-1.8596649169921875E-4</v>
      </c>
      <c r="S237" s="1305">
        <f>S$171-SUM(AL$85:AL151)-11657331.74</f>
        <v>0</v>
      </c>
      <c r="T237" s="260">
        <f>SUM(C237:S237)</f>
        <v>-1.258334144949913E-2</v>
      </c>
    </row>
    <row r="238" spans="1:20">
      <c r="A238" s="225">
        <v>41263</v>
      </c>
      <c r="B238" s="75"/>
      <c r="C238" s="234">
        <f>C$171-SUM(V$85:V152)</f>
        <v>1.2896060943603516E-3</v>
      </c>
      <c r="D238" s="235">
        <f>D$171-SUM(W$85:W152)</f>
        <v>-1.8990635871887207E-3</v>
      </c>
      <c r="E238" s="235">
        <f>E$171-SUM(X$85:X152)</f>
        <v>-9.9999904632568359E-3</v>
      </c>
      <c r="F238" s="235">
        <f>F$171-SUM(Y$85:Y152)</f>
        <v>3.8781166076660156E-3</v>
      </c>
      <c r="G238" s="235">
        <f>G$171-SUM(Z$85:Z152)</f>
        <v>9.6917152404785156E-4</v>
      </c>
      <c r="H238" s="1304">
        <f>H$171-SUM(AA$85:AA152)-731354236.62</f>
        <v>-4.4749975204467773E-3</v>
      </c>
      <c r="I238" s="1304">
        <f>I$171-SUM(AB$85:AB152)-465237432.12</f>
        <v>1.5813708305358887E-3</v>
      </c>
      <c r="J238" s="1304">
        <f>J$171-SUM(AC$85:AC152)-459678900.31</f>
        <v>0</v>
      </c>
      <c r="K238" s="235">
        <f>K$171-SUM(AD$85:AD152)</f>
        <v>4.3295323848724365E-5</v>
      </c>
      <c r="L238" s="1303">
        <f>L$171-SUM(AE$85:AE152)-50348187.97</f>
        <v>2.671368420124054E-3</v>
      </c>
      <c r="M238" s="1302">
        <v>0</v>
      </c>
      <c r="N238" s="1303">
        <f>N$171-SUM(AG$85:AG152)</f>
        <v>-4.2696036398410797E-3</v>
      </c>
      <c r="O238" s="1301">
        <v>0</v>
      </c>
      <c r="P238" s="1303">
        <f>P$171-SUM(AI$85:AI152)-21195148.62</f>
        <v>0</v>
      </c>
      <c r="Q238" s="1303">
        <f>Q$171-SUM(AJ$85:AJ152)-12002689.12</f>
        <v>-2.1866485476493835E-3</v>
      </c>
      <c r="R238" s="1303">
        <f>R$171-SUM(AK$85:AK152)-68653350.61</f>
        <v>-1.8596649169921875E-4</v>
      </c>
      <c r="S238" s="1305">
        <f>S$171-SUM(AL$85:AL152)-11657331.74</f>
        <v>0</v>
      </c>
      <c r="T238" s="260">
        <f>SUM(C238:S238)</f>
        <v>-1.258334144949913E-2</v>
      </c>
    </row>
    <row r="239" spans="1:20">
      <c r="A239" s="205">
        <v>41294</v>
      </c>
      <c r="B239" s="75"/>
      <c r="C239" s="234">
        <f>C$171-SUM(V$85:V153)</f>
        <v>1.2896060943603516E-3</v>
      </c>
      <c r="D239" s="235">
        <f>D$171-SUM(W$85:W153)</f>
        <v>-1.8990635871887207E-3</v>
      </c>
      <c r="E239" s="235">
        <f>E$171-SUM(X$85:X153)</f>
        <v>-9.9999904632568359E-3</v>
      </c>
      <c r="F239" s="235">
        <f>F$171-SUM(Y$85:Y153)</f>
        <v>3.8781166076660156E-3</v>
      </c>
      <c r="G239" s="235">
        <f>G$171-SUM(Z$85:Z153)</f>
        <v>9.6917152404785156E-4</v>
      </c>
      <c r="H239" s="1304">
        <f>H$171-SUM(AA$85:AA153)-731354236.62</f>
        <v>-4.4749975204467773E-3</v>
      </c>
      <c r="I239" s="1304">
        <f>I$171-SUM(AB$85:AB153)-465237432.12</f>
        <v>1.5813708305358887E-3</v>
      </c>
      <c r="J239" s="1304">
        <f>J$171-SUM(AC$85:AC153)-459678900.31</f>
        <v>0</v>
      </c>
      <c r="K239" s="235">
        <f>K$171-SUM(AD$85:AD153)</f>
        <v>4.3295323848724365E-5</v>
      </c>
      <c r="L239" s="1303">
        <f>L$171-SUM(AE$85:AE153)-50348187.97</f>
        <v>2.671368420124054E-3</v>
      </c>
      <c r="M239" s="1302">
        <v>0</v>
      </c>
      <c r="N239" s="1303">
        <f>N$171-SUM(AG$85:AG153)</f>
        <v>-4.2696036398410797E-3</v>
      </c>
      <c r="O239" s="1301">
        <v>1</v>
      </c>
      <c r="P239" s="1303">
        <f>P$171-SUM(AI$85:AI153)-21195148.62</f>
        <v>0</v>
      </c>
      <c r="Q239" s="1303">
        <f>Q$171-SUM(AJ$85:AJ153)-12002689.12</f>
        <v>-2.1866485476493835E-3</v>
      </c>
      <c r="R239" s="1303">
        <f>R$171-SUM(AK$85:AK153)-68653350.61</f>
        <v>-1.8596649169921875E-4</v>
      </c>
      <c r="S239" s="1305">
        <f>S$171-SUM(AL$85:AL153)-11657331.74</f>
        <v>0</v>
      </c>
      <c r="T239" s="260">
        <f t="shared" ref="T239:T250" si="182">SUM(C239:S239)</f>
        <v>0.98741665855050087</v>
      </c>
    </row>
    <row r="240" spans="1:20">
      <c r="A240" s="205">
        <v>41325</v>
      </c>
      <c r="B240" s="75"/>
      <c r="C240" s="234">
        <f>C$171-SUM(V$85:V154)</f>
        <v>1.2896060943603516E-3</v>
      </c>
      <c r="D240" s="235">
        <f>D$171-SUM(W$85:W154)</f>
        <v>-1.8990635871887207E-3</v>
      </c>
      <c r="E240" s="235">
        <f>E$171-SUM(X$85:X154)</f>
        <v>-9.9999904632568359E-3</v>
      </c>
      <c r="F240" s="235">
        <f>F$171-SUM(Y$85:Y154)</f>
        <v>3.8781166076660156E-3</v>
      </c>
      <c r="G240" s="235">
        <f>G$171-SUM(Z$85:Z154)</f>
        <v>9.6917152404785156E-4</v>
      </c>
      <c r="H240" s="1304">
        <f>H$171-SUM(AA$85:AA154)-731354236.62</f>
        <v>-4.4749975204467773E-3</v>
      </c>
      <c r="I240" s="1304">
        <f>I$171-SUM(AB$85:AB154)-465237432.12</f>
        <v>1.5813708305358887E-3</v>
      </c>
      <c r="J240" s="1304">
        <f>J$171-SUM(AC$85:AC154)-459678900.31</f>
        <v>0</v>
      </c>
      <c r="K240" s="235">
        <f>K$171-SUM(AD$85:AD154)</f>
        <v>4.3295323848724365E-5</v>
      </c>
      <c r="L240" s="1303">
        <f>L$171-SUM(AE$85:AE154)-50348187.97</f>
        <v>2.671368420124054E-3</v>
      </c>
      <c r="M240" s="1302">
        <v>0</v>
      </c>
      <c r="N240" s="1303">
        <f>N$171-SUM(AG$85:AG154)</f>
        <v>-4.2696036398410797E-3</v>
      </c>
      <c r="O240" s="1301">
        <v>2</v>
      </c>
      <c r="P240" s="1303">
        <f>P$171-SUM(AI$85:AI154)-21195148.62</f>
        <v>0</v>
      </c>
      <c r="Q240" s="1303">
        <f>Q$171-SUM(AJ$85:AJ154)-12002689.12</f>
        <v>-2.1866485476493835E-3</v>
      </c>
      <c r="R240" s="1303">
        <f>R$171-SUM(AK$85:AK154)-68653350.61</f>
        <v>-1.8596649169921875E-4</v>
      </c>
      <c r="S240" s="1305">
        <f>S$171-SUM(AL$85:AL154)-11657331.74</f>
        <v>0</v>
      </c>
      <c r="T240" s="260">
        <f t="shared" si="182"/>
        <v>1.9874166585505009</v>
      </c>
    </row>
    <row r="241" spans="1:20">
      <c r="A241" s="205">
        <v>41353</v>
      </c>
      <c r="B241" s="75"/>
      <c r="C241" s="234">
        <f>C$171-SUM(V$85:V155)</f>
        <v>1.2896060943603516E-3</v>
      </c>
      <c r="D241" s="235">
        <f>D$171-SUM(W$85:W155)</f>
        <v>-1.8990635871887207E-3</v>
      </c>
      <c r="E241" s="235">
        <f>E$171-SUM(X$85:X155)</f>
        <v>-9.9999904632568359E-3</v>
      </c>
      <c r="F241" s="235">
        <f>F$171-SUM(Y$85:Y155)</f>
        <v>3.8781166076660156E-3</v>
      </c>
      <c r="G241" s="235">
        <f>G$171-SUM(Z$85:Z155)</f>
        <v>9.6917152404785156E-4</v>
      </c>
      <c r="H241" s="1304">
        <f>H$171-SUM(AA$85:AA155)-731354236.62</f>
        <v>-4.4749975204467773E-3</v>
      </c>
      <c r="I241" s="1304">
        <f>I$171-SUM(AB$85:AB155)-465237432.12</f>
        <v>1.5813708305358887E-3</v>
      </c>
      <c r="J241" s="1304">
        <f>J$171-SUM(AC$85:AC155)-459678900.31</f>
        <v>0</v>
      </c>
      <c r="K241" s="235">
        <f>K$171-SUM(AD$85:AD155)</f>
        <v>4.3295323848724365E-5</v>
      </c>
      <c r="L241" s="1303">
        <f>L$171-SUM(AE$85:AE155)-50348187.97</f>
        <v>2.671368420124054E-3</v>
      </c>
      <c r="M241" s="1302">
        <v>0</v>
      </c>
      <c r="N241" s="1303">
        <f>N$171-SUM(AG$85:AG155)</f>
        <v>-4.2696036398410797E-3</v>
      </c>
      <c r="O241" s="1301">
        <v>3</v>
      </c>
      <c r="P241" s="1303">
        <f>P$171-SUM(AI$85:AI155)-21195148.62</f>
        <v>0</v>
      </c>
      <c r="Q241" s="1303">
        <f>Q$171-SUM(AJ$85:AJ155)-12002689.12</f>
        <v>-2.1866485476493835E-3</v>
      </c>
      <c r="R241" s="1303">
        <f>R$171-SUM(AK$85:AK155)-68653350.61</f>
        <v>-1.8596649169921875E-4</v>
      </c>
      <c r="S241" s="1305">
        <f>S$171-SUM(AL$85:AL155)-11657331.74</f>
        <v>0</v>
      </c>
      <c r="T241" s="260">
        <f t="shared" si="182"/>
        <v>2.9874166585505009</v>
      </c>
    </row>
    <row r="242" spans="1:20">
      <c r="A242" s="205">
        <v>41384</v>
      </c>
      <c r="B242" s="75"/>
      <c r="C242" s="234">
        <f>C$171-SUM(V$85:V156)</f>
        <v>1.2896060943603516E-3</v>
      </c>
      <c r="D242" s="235">
        <f>D$171-SUM(W$85:W156)</f>
        <v>-1.8990635871887207E-3</v>
      </c>
      <c r="E242" s="235">
        <f>E$171-SUM(X$85:X156)</f>
        <v>-9.9999904632568359E-3</v>
      </c>
      <c r="F242" s="235">
        <f>F$171-SUM(Y$85:Y156)</f>
        <v>3.8781166076660156E-3</v>
      </c>
      <c r="G242" s="235">
        <f>G$171-SUM(Z$85:Z156)</f>
        <v>9.6917152404785156E-4</v>
      </c>
      <c r="H242" s="1304">
        <f>H$171-SUM(AA$85:AA156)-731354236.62</f>
        <v>-4.4749975204467773E-3</v>
      </c>
      <c r="I242" s="1304">
        <f>I$171-SUM(AB$85:AB156)-465237432.12</f>
        <v>1.5813708305358887E-3</v>
      </c>
      <c r="J242" s="1304">
        <f>J$171-SUM(AC$85:AC156)-459678900.31</f>
        <v>0</v>
      </c>
      <c r="K242" s="235">
        <f>K$171-SUM(AD$85:AD156)</f>
        <v>4.3295323848724365E-5</v>
      </c>
      <c r="L242" s="1303">
        <f>L$171-SUM(AE$85:AE156)-50348187.97</f>
        <v>2.671368420124054E-3</v>
      </c>
      <c r="M242" s="1302">
        <v>0</v>
      </c>
      <c r="N242" s="1303">
        <f>N$171-SUM(AG$85:AG156)</f>
        <v>-4.2696036398410797E-3</v>
      </c>
      <c r="O242" s="1301">
        <v>4</v>
      </c>
      <c r="P242" s="1303">
        <f>P$171-SUM(AI$85:AI156)-21195148.62</f>
        <v>0</v>
      </c>
      <c r="Q242" s="1303">
        <f>Q$171-SUM(AJ$85:AJ156)-12002689.12</f>
        <v>-2.1866485476493835E-3</v>
      </c>
      <c r="R242" s="1303">
        <f>R$171-SUM(AK$85:AK156)-68653350.61</f>
        <v>-1.8596649169921875E-4</v>
      </c>
      <c r="S242" s="1305">
        <f>S$171-SUM(AL$85:AL156)-11657331.74</f>
        <v>0</v>
      </c>
      <c r="T242" s="260">
        <f t="shared" si="182"/>
        <v>3.9874166585505009</v>
      </c>
    </row>
    <row r="243" spans="1:20">
      <c r="A243" s="213">
        <v>41414</v>
      </c>
      <c r="B243" s="75"/>
      <c r="C243" s="234">
        <f>C$171-SUM(V$85:V157)</f>
        <v>1.2896060943603516E-3</v>
      </c>
      <c r="D243" s="235">
        <f>D$171-SUM(W$85:W157)</f>
        <v>-1.8990635871887207E-3</v>
      </c>
      <c r="E243" s="235">
        <f>E$171-SUM(X$85:X157)</f>
        <v>-9.9999904632568359E-3</v>
      </c>
      <c r="F243" s="235">
        <f>F$171-SUM(Y$85:Y157)</f>
        <v>3.8781166076660156E-3</v>
      </c>
      <c r="G243" s="235">
        <f>G$171-SUM(Z$85:Z157)</f>
        <v>9.6917152404785156E-4</v>
      </c>
      <c r="H243" s="1304">
        <f>H$171-SUM(AA$85:AA157)-731354236.62</f>
        <v>-4.4749975204467773E-3</v>
      </c>
      <c r="I243" s="1304">
        <f>I$171-SUM(AB$85:AB157)-465237432.12</f>
        <v>1.5813708305358887E-3</v>
      </c>
      <c r="J243" s="1304">
        <f>J$171-SUM(AC$85:AC157)-459678900.31</f>
        <v>0</v>
      </c>
      <c r="K243" s="235">
        <f>K$171-SUM(AD$85:AD157)</f>
        <v>4.3295323848724365E-5</v>
      </c>
      <c r="L243" s="1303">
        <f>L$171-SUM(AE$85:AE157)-50348187.97</f>
        <v>2.671368420124054E-3</v>
      </c>
      <c r="M243" s="1302">
        <v>0</v>
      </c>
      <c r="N243" s="1303">
        <f>N$171-SUM(AG$85:AG157)</f>
        <v>-4.2696036398410797E-3</v>
      </c>
      <c r="O243" s="1301">
        <v>5</v>
      </c>
      <c r="P243" s="1303">
        <f>P$171-SUM(AI$85:AI157)-21195148.62</f>
        <v>0</v>
      </c>
      <c r="Q243" s="1303">
        <f>Q$171-SUM(AJ$85:AJ157)-12002689.12</f>
        <v>-2.1866485476493835E-3</v>
      </c>
      <c r="R243" s="1303">
        <f>R$171-SUM(AK$85:AK157)-68653350.61</f>
        <v>-1.8596649169921875E-4</v>
      </c>
      <c r="S243" s="1305">
        <f>S$171-SUM(AL$85:AL157)-11657331.74</f>
        <v>0</v>
      </c>
      <c r="T243" s="260">
        <f t="shared" si="182"/>
        <v>4.9874166585505009</v>
      </c>
    </row>
    <row r="244" spans="1:20">
      <c r="A244" s="205">
        <v>41445</v>
      </c>
      <c r="B244" s="75"/>
      <c r="C244" s="234">
        <f>C$171-SUM(V$85:V158)</f>
        <v>1.2896060943603516E-3</v>
      </c>
      <c r="D244" s="235">
        <f>D$171-SUM(W$85:W158)</f>
        <v>-1.8990635871887207E-3</v>
      </c>
      <c r="E244" s="235">
        <f>E$171-SUM(X$85:X158)</f>
        <v>-9.9999904632568359E-3</v>
      </c>
      <c r="F244" s="235">
        <f>F$171-SUM(Y$85:Y158)</f>
        <v>3.8781166076660156E-3</v>
      </c>
      <c r="G244" s="235">
        <f>G$171-SUM(Z$85:Z158)</f>
        <v>9.6917152404785156E-4</v>
      </c>
      <c r="H244" s="1304">
        <f>H$171-SUM(AA$85:AA158)-731354236.62</f>
        <v>-4.4749975204467773E-3</v>
      </c>
      <c r="I244" s="1304">
        <f>I$171-SUM(AB$85:AB158)-465237432.12</f>
        <v>1.5813708305358887E-3</v>
      </c>
      <c r="J244" s="1304">
        <f>J$171-SUM(AC$85:AC158)-459678900.31</f>
        <v>0</v>
      </c>
      <c r="K244" s="235">
        <f>K$171-SUM(AD$85:AD158)</f>
        <v>4.3295323848724365E-5</v>
      </c>
      <c r="L244" s="1303">
        <f>L$171-SUM(AE$85:AE158)-50348187.97</f>
        <v>2.671368420124054E-3</v>
      </c>
      <c r="M244" s="1302">
        <v>0</v>
      </c>
      <c r="N244" s="1303">
        <f>N$171-SUM(AG$85:AG158)</f>
        <v>-4.2696036398410797E-3</v>
      </c>
      <c r="O244" s="1301">
        <v>6</v>
      </c>
      <c r="P244" s="1303">
        <f>P$171-SUM(AI$85:AI158)-21195148.62</f>
        <v>0</v>
      </c>
      <c r="Q244" s="1303">
        <f>Q$171-SUM(AJ$85:AJ158)-12002689.12</f>
        <v>-2.1866485476493835E-3</v>
      </c>
      <c r="R244" s="1303">
        <f>R$171-SUM(AK$85:AK158)-68653350.61</f>
        <v>-1.8596649169921875E-4</v>
      </c>
      <c r="S244" s="1305">
        <f>S$171-SUM(AL$85:AL158)-11657331.74</f>
        <v>0</v>
      </c>
      <c r="T244" s="260">
        <f t="shared" si="182"/>
        <v>5.9874166585505009</v>
      </c>
    </row>
    <row r="245" spans="1:20">
      <c r="A245" s="205">
        <v>41475</v>
      </c>
      <c r="B245" s="75"/>
      <c r="C245" s="234">
        <f>C$171-SUM(V$85:V159)</f>
        <v>1.2896060943603516E-3</v>
      </c>
      <c r="D245" s="235">
        <f>D$171-SUM(W$85:W159)</f>
        <v>-1.8990635871887207E-3</v>
      </c>
      <c r="E245" s="235">
        <f>E$171-SUM(X$85:X159)</f>
        <v>-9.9999904632568359E-3</v>
      </c>
      <c r="F245" s="235">
        <f>F$171-SUM(Y$85:Y159)</f>
        <v>3.8781166076660156E-3</v>
      </c>
      <c r="G245" s="235">
        <f>G$171-SUM(Z$85:Z159)</f>
        <v>9.6917152404785156E-4</v>
      </c>
      <c r="H245" s="1304">
        <f>H$171-SUM(AA$85:AA159)-731354236.62</f>
        <v>-4.4749975204467773E-3</v>
      </c>
      <c r="I245" s="1304">
        <f>I$171-SUM(AB$85:AB159)-465237432.12</f>
        <v>1.5813708305358887E-3</v>
      </c>
      <c r="J245" s="1304">
        <f>J$171-SUM(AC$85:AC159)-459678900.31</f>
        <v>0</v>
      </c>
      <c r="K245" s="235">
        <f>K$171-SUM(AD$85:AD159)</f>
        <v>4.3295323848724365E-5</v>
      </c>
      <c r="L245" s="1303">
        <f>L$171-SUM(AE$85:AE159)-50348187.97</f>
        <v>2.671368420124054E-3</v>
      </c>
      <c r="M245" s="1302">
        <v>0</v>
      </c>
      <c r="N245" s="1303">
        <f>N$171-SUM(AG$85:AG159)</f>
        <v>-4.2696036398410797E-3</v>
      </c>
      <c r="O245" s="1301">
        <v>7</v>
      </c>
      <c r="P245" s="1303">
        <f>P$171-SUM(AI$85:AI159)-21195148.62</f>
        <v>0</v>
      </c>
      <c r="Q245" s="1303">
        <f>Q$171-SUM(AJ$85:AJ159)-12002689.12</f>
        <v>-2.1866485476493835E-3</v>
      </c>
      <c r="R245" s="1303">
        <f>R$171-SUM(AK$85:AK159)-68653350.61</f>
        <v>-1.8596649169921875E-4</v>
      </c>
      <c r="S245" s="1305">
        <f>S$171-SUM(AL$85:AL159)-11657331.74</f>
        <v>0</v>
      </c>
      <c r="T245" s="260">
        <f t="shared" si="182"/>
        <v>6.9874166585505009</v>
      </c>
    </row>
    <row r="246" spans="1:20">
      <c r="A246" s="205">
        <v>41506</v>
      </c>
      <c r="B246" s="75"/>
      <c r="C246" s="234">
        <f>C$171-SUM(V$85:V160)</f>
        <v>1.2896060943603516E-3</v>
      </c>
      <c r="D246" s="235">
        <f>D$171-SUM(W$85:W160)</f>
        <v>-1.8990635871887207E-3</v>
      </c>
      <c r="E246" s="235">
        <f>E$171-SUM(X$85:X160)</f>
        <v>-9.9999904632568359E-3</v>
      </c>
      <c r="F246" s="235">
        <f>F$171-SUM(Y$85:Y160)</f>
        <v>3.8781166076660156E-3</v>
      </c>
      <c r="G246" s="235">
        <f>G$171-SUM(Z$85:Z160)</f>
        <v>9.6917152404785156E-4</v>
      </c>
      <c r="H246" s="1304">
        <f>H$171-SUM(AA$85:AA160)-731354236.62</f>
        <v>-4.4749975204467773E-3</v>
      </c>
      <c r="I246" s="1304">
        <f>I$171-SUM(AB$85:AB160)-465237432.12</f>
        <v>1.5813708305358887E-3</v>
      </c>
      <c r="J246" s="1304">
        <f>J$171-SUM(AC$85:AC160)-459678900.31</f>
        <v>0</v>
      </c>
      <c r="K246" s="235">
        <f>K$171-SUM(AD$85:AD160)</f>
        <v>4.3295323848724365E-5</v>
      </c>
      <c r="L246" s="1303">
        <f>L$171-SUM(AE$85:AE160)-50348187.97</f>
        <v>2.671368420124054E-3</v>
      </c>
      <c r="M246" s="1302">
        <v>0</v>
      </c>
      <c r="N246" s="1303">
        <f>N$171-SUM(AG$85:AG160)</f>
        <v>-4.2696036398410797E-3</v>
      </c>
      <c r="O246" s="1301">
        <v>8</v>
      </c>
      <c r="P246" s="1303">
        <f>P$171-SUM(AI$85:AI160)-21195148.62</f>
        <v>0</v>
      </c>
      <c r="Q246" s="1303">
        <f>Q$171-SUM(AJ$85:AJ160)-12002689.12</f>
        <v>-2.1866485476493835E-3</v>
      </c>
      <c r="R246" s="1303">
        <f>R$171-SUM(AK$85:AK160)-68653350.61</f>
        <v>-1.8596649169921875E-4</v>
      </c>
      <c r="S246" s="1305">
        <f>S$171-SUM(AL$85:AL160)-11657331.74</f>
        <v>0</v>
      </c>
      <c r="T246" s="260">
        <f t="shared" si="182"/>
        <v>7.9874166585505009</v>
      </c>
    </row>
    <row r="247" spans="1:20">
      <c r="A247" s="205">
        <v>41537</v>
      </c>
      <c r="B247" s="75"/>
      <c r="C247" s="234">
        <f>C$171-SUM(V$85:V161)</f>
        <v>1.2896060943603516E-3</v>
      </c>
      <c r="D247" s="235">
        <f>D$171-SUM(W$85:W161)</f>
        <v>-1.8990635871887207E-3</v>
      </c>
      <c r="E247" s="235">
        <f>E$171-SUM(X$85:X161)</f>
        <v>-9.9999904632568359E-3</v>
      </c>
      <c r="F247" s="235">
        <f>F$171-SUM(Y$85:Y161)</f>
        <v>3.8781166076660156E-3</v>
      </c>
      <c r="G247" s="235">
        <f>G$171-SUM(Z$85:Z161)</f>
        <v>9.6917152404785156E-4</v>
      </c>
      <c r="H247" s="1304">
        <f>H$171-SUM(AA$85:AA161)-731354236.62</f>
        <v>-4.4749975204467773E-3</v>
      </c>
      <c r="I247" s="1304">
        <f>I$171-SUM(AB$85:AB161)-465237432.12</f>
        <v>1.5813708305358887E-3</v>
      </c>
      <c r="J247" s="1304">
        <f>J$171-SUM(AC$85:AC161)-459678900.31</f>
        <v>0</v>
      </c>
      <c r="K247" s="235">
        <f>K$171-SUM(AD$85:AD161)</f>
        <v>4.3295323848724365E-5</v>
      </c>
      <c r="L247" s="1303">
        <f>L$171-SUM(AE$85:AE161)-50348187.97</f>
        <v>2.671368420124054E-3</v>
      </c>
      <c r="M247" s="1302">
        <v>0</v>
      </c>
      <c r="N247" s="1303">
        <f>N$171-SUM(AG$85:AG161)</f>
        <v>-4.2696036398410797E-3</v>
      </c>
      <c r="O247" s="1301">
        <v>9</v>
      </c>
      <c r="P247" s="1303">
        <f>P$171-SUM(AI$85:AI161)-21195148.62</f>
        <v>0</v>
      </c>
      <c r="Q247" s="1303">
        <f>Q$171-SUM(AJ$85:AJ161)-12002689.12</f>
        <v>-2.1866485476493835E-3</v>
      </c>
      <c r="R247" s="1303">
        <f>R$171-SUM(AK$85:AK161)-68653350.61</f>
        <v>-1.8596649169921875E-4</v>
      </c>
      <c r="S247" s="1305">
        <f>S$171-SUM(AL$85:AL161)-11657331.74</f>
        <v>0</v>
      </c>
      <c r="T247" s="260">
        <f t="shared" si="182"/>
        <v>8.9874166585505009</v>
      </c>
    </row>
    <row r="248" spans="1:20">
      <c r="A248" s="205">
        <v>41567</v>
      </c>
      <c r="B248" s="75"/>
      <c r="C248" s="234">
        <f>C$171-SUM(V$85:V162)</f>
        <v>1.2896060943603516E-3</v>
      </c>
      <c r="D248" s="235">
        <f>D$171-SUM(W$85:W162)</f>
        <v>-1.8990635871887207E-3</v>
      </c>
      <c r="E248" s="235">
        <f>E$171-SUM(X$85:X162)</f>
        <v>-9.9999904632568359E-3</v>
      </c>
      <c r="F248" s="235">
        <f>F$171-SUM(Y$85:Y162)</f>
        <v>3.8781166076660156E-3</v>
      </c>
      <c r="G248" s="235">
        <f>G$171-SUM(Z$85:Z162)</f>
        <v>9.6917152404785156E-4</v>
      </c>
      <c r="H248" s="1304">
        <f>H$171-SUM(AA$85:AA162)-731354236.62</f>
        <v>-4.4749975204467773E-3</v>
      </c>
      <c r="I248" s="1304">
        <f>I$171-SUM(AB$85:AB162)-465237432.12</f>
        <v>1.5813708305358887E-3</v>
      </c>
      <c r="J248" s="1304">
        <f>J$171-SUM(AC$85:AC162)-459678900.31</f>
        <v>0</v>
      </c>
      <c r="K248" s="235">
        <f>K$171-SUM(AD$85:AD162)</f>
        <v>4.3295323848724365E-5</v>
      </c>
      <c r="L248" s="1303">
        <f>L$171-SUM(AE$85:AE162)-50348187.97</f>
        <v>2.671368420124054E-3</v>
      </c>
      <c r="M248" s="1302">
        <v>0</v>
      </c>
      <c r="N248" s="1303">
        <f>N$171-SUM(AG$85:AG162)</f>
        <v>-4.2696036398410797E-3</v>
      </c>
      <c r="O248" s="1301">
        <v>10</v>
      </c>
      <c r="P248" s="1303">
        <f>P$171-SUM(AI$85:AI162)-21195148.62</f>
        <v>0</v>
      </c>
      <c r="Q248" s="1303">
        <f>Q$171-SUM(AJ$85:AJ162)-12002689.12</f>
        <v>-2.1866485476493835E-3</v>
      </c>
      <c r="R248" s="1303">
        <f>R$171-SUM(AK$85:AK162)-68653350.61</f>
        <v>-1.8596649169921875E-4</v>
      </c>
      <c r="S248" s="1305">
        <f>S$171-SUM(AL$85:AL162)-11657331.74</f>
        <v>0</v>
      </c>
      <c r="T248" s="260">
        <f t="shared" si="182"/>
        <v>9.9874166585505009</v>
      </c>
    </row>
    <row r="249" spans="1:20">
      <c r="A249" s="205">
        <v>41598</v>
      </c>
      <c r="B249" s="75"/>
      <c r="C249" s="234">
        <f>C$171-SUM(V$85:V163)</f>
        <v>1.2896060943603516E-3</v>
      </c>
      <c r="D249" s="235">
        <f>D$171-SUM(W$85:W163)</f>
        <v>-1.8990635871887207E-3</v>
      </c>
      <c r="E249" s="235">
        <f>E$171-SUM(X$85:X163)</f>
        <v>-9.9999904632568359E-3</v>
      </c>
      <c r="F249" s="235">
        <f>F$171-SUM(Y$85:Y163)</f>
        <v>3.8781166076660156E-3</v>
      </c>
      <c r="G249" s="235">
        <f>G$171-SUM(Z$85:Z163)</f>
        <v>9.6917152404785156E-4</v>
      </c>
      <c r="H249" s="1304">
        <f>H$171-SUM(AA$85:AA163)-731354236.62</f>
        <v>-4.4749975204467773E-3</v>
      </c>
      <c r="I249" s="1304">
        <f>I$171-SUM(AB$85:AB163)-465237432.12</f>
        <v>1.5813708305358887E-3</v>
      </c>
      <c r="J249" s="1304">
        <f>J$171-SUM(AC$85:AC163)-459678900.31</f>
        <v>0</v>
      </c>
      <c r="K249" s="235">
        <f>K$171-SUM(AD$85:AD163)</f>
        <v>4.3295323848724365E-5</v>
      </c>
      <c r="L249" s="1303">
        <f>L$171-SUM(AE$85:AE163)-50348187.97</f>
        <v>2.671368420124054E-3</v>
      </c>
      <c r="M249" s="1302">
        <v>0</v>
      </c>
      <c r="N249" s="1303">
        <f>N$171-SUM(AG$85:AG163)</f>
        <v>-4.2696036398410797E-3</v>
      </c>
      <c r="O249" s="1301">
        <v>11</v>
      </c>
      <c r="P249" s="1303">
        <f>P$171-SUM(AI$85:AI163)-21195148.62</f>
        <v>0</v>
      </c>
      <c r="Q249" s="1303">
        <f>Q$171-SUM(AJ$85:AJ163)-12002689.12</f>
        <v>-2.1866485476493835E-3</v>
      </c>
      <c r="R249" s="1303">
        <f>R$171-SUM(AK$85:AK163)-68653350.61</f>
        <v>-1.8596649169921875E-4</v>
      </c>
      <c r="S249" s="1305">
        <f>S$171-SUM(AL$85:AL163)-11657331.74</f>
        <v>0</v>
      </c>
      <c r="T249" s="260">
        <f t="shared" si="182"/>
        <v>10.987416658550501</v>
      </c>
    </row>
    <row r="250" spans="1:20">
      <c r="A250" s="205">
        <v>41628</v>
      </c>
      <c r="B250" s="75"/>
      <c r="C250" s="234">
        <f>C$171-SUM(V$85:V164)</f>
        <v>1.2896060943603516E-3</v>
      </c>
      <c r="D250" s="235">
        <f>D$171-SUM(W$85:W164)</f>
        <v>-1.8990635871887207E-3</v>
      </c>
      <c r="E250" s="235">
        <f>E$171-SUM(X$85:X164)</f>
        <v>-9.9999904632568359E-3</v>
      </c>
      <c r="F250" s="235">
        <f>F$171-SUM(Y$85:Y164)</f>
        <v>3.8781166076660156E-3</v>
      </c>
      <c r="G250" s="235">
        <f>G$171-SUM(Z$85:Z164)</f>
        <v>9.6917152404785156E-4</v>
      </c>
      <c r="H250" s="1304">
        <f>H$171-SUM(AA$85:AA164)-731354236.62</f>
        <v>-4.4749975204467773E-3</v>
      </c>
      <c r="I250" s="1304">
        <f>I$171-SUM(AB$85:AB164)-465237432.12</f>
        <v>1.5813708305358887E-3</v>
      </c>
      <c r="J250" s="1304">
        <f>J$171-SUM(AC$85:AC164)-459678900.31</f>
        <v>0</v>
      </c>
      <c r="K250" s="235">
        <f>K$171-SUM(AD$85:AD164)</f>
        <v>4.3295323848724365E-5</v>
      </c>
      <c r="L250" s="1303">
        <f>L$171-SUM(AE$85:AE164)-50348187.97</f>
        <v>2.671368420124054E-3</v>
      </c>
      <c r="M250" s="1302">
        <v>0</v>
      </c>
      <c r="N250" s="1303">
        <f>N$171-SUM(AG$85:AG164)</f>
        <v>-4.2696036398410797E-3</v>
      </c>
      <c r="O250" s="1301">
        <v>12</v>
      </c>
      <c r="P250" s="1303">
        <f>P$171-SUM(AI$85:AI164)-21195148.62</f>
        <v>0</v>
      </c>
      <c r="Q250" s="1303">
        <f>Q$171-SUM(AJ$85:AJ164)-12002689.12</f>
        <v>-2.1866485476493835E-3</v>
      </c>
      <c r="R250" s="1303">
        <f>R$171-SUM(AK$85:AK164)-68653350.61</f>
        <v>-1.8596649169921875E-4</v>
      </c>
      <c r="S250" s="1305">
        <f>S$171-SUM(AL$85:AL164)-11657331.74</f>
        <v>0</v>
      </c>
      <c r="T250" s="260">
        <f t="shared" si="182"/>
        <v>11.987416658550501</v>
      </c>
    </row>
    <row r="251" spans="1:20">
      <c r="A251" s="75"/>
      <c r="B251" s="75"/>
    </row>
    <row r="252" spans="1:20">
      <c r="A252" s="75"/>
      <c r="B252" s="75"/>
    </row>
    <row r="253" spans="1:20">
      <c r="A253" s="75"/>
      <c r="B253" s="75"/>
    </row>
    <row r="254" spans="1:20">
      <c r="A254" s="75"/>
      <c r="B254" s="75"/>
    </row>
    <row r="255" spans="1:20">
      <c r="A255" s="75"/>
      <c r="B255" s="75"/>
    </row>
    <row r="256" spans="1:20">
      <c r="A256" s="75"/>
      <c r="B256" s="75"/>
    </row>
    <row r="257" spans="1:2">
      <c r="A257" s="75"/>
      <c r="B257" s="75"/>
    </row>
    <row r="258" spans="1:2">
      <c r="A258" s="75"/>
      <c r="B258" s="75"/>
    </row>
    <row r="259" spans="1:2">
      <c r="A259" s="75"/>
      <c r="B259" s="75"/>
    </row>
    <row r="260" spans="1:2">
      <c r="A260" s="75"/>
      <c r="B260" s="75"/>
    </row>
    <row r="261" spans="1:2">
      <c r="A261" s="75"/>
      <c r="B261" s="75"/>
    </row>
    <row r="262" spans="1:2">
      <c r="A262" s="75"/>
      <c r="B262" s="75"/>
    </row>
    <row r="263" spans="1:2">
      <c r="A263" s="75"/>
      <c r="B263" s="75"/>
    </row>
    <row r="264" spans="1:2">
      <c r="A264" s="75"/>
      <c r="B264" s="75"/>
    </row>
  </sheetData>
  <phoneticPr fontId="3" type="noConversion"/>
  <pageMargins left="0.75" right="0.75" top="1" bottom="1" header="0.5" footer="0.5"/>
  <pageSetup paperSize="8" orientation="landscape" r:id="rId1"/>
  <headerFooter alignWithMargins="0"/>
  <legacyDrawing r:id="rId2"/>
</worksheet>
</file>

<file path=xl/worksheets/sheet8.xml><?xml version="1.0" encoding="utf-8"?>
<worksheet xmlns="http://schemas.openxmlformats.org/spreadsheetml/2006/main" xmlns:r="http://schemas.openxmlformats.org/officeDocument/2006/relationships">
  <sheetPr codeName="Sheet18" enableFormatConditionsCalculation="0">
    <tabColor indexed="43"/>
  </sheetPr>
  <dimension ref="A1:AV178"/>
  <sheetViews>
    <sheetView zoomScale="70" workbookViewId="0">
      <selection activeCell="Y56" sqref="A55:Y56"/>
    </sheetView>
  </sheetViews>
  <sheetFormatPr defaultRowHeight="12.75"/>
  <cols>
    <col min="1" max="1" width="39.28515625" style="73" bestFit="1" customWidth="1"/>
    <col min="2" max="2" width="16.28515625" style="73" customWidth="1"/>
    <col min="3" max="3" width="16.5703125" style="73" bestFit="1" customWidth="1"/>
    <col min="4" max="5" width="16.5703125" style="73" customWidth="1"/>
    <col min="6" max="6" width="16.5703125" style="73" bestFit="1" customWidth="1"/>
    <col min="7" max="7" width="17.85546875" style="73" bestFit="1" customWidth="1"/>
    <col min="8" max="8" width="29" style="73" customWidth="1"/>
    <col min="9" max="9" width="18.85546875" style="73" bestFit="1" customWidth="1"/>
    <col min="10" max="10" width="11.42578125" style="73" bestFit="1" customWidth="1"/>
    <col min="11" max="11" width="12.5703125" style="73" bestFit="1" customWidth="1"/>
    <col min="12" max="14" width="10.5703125" style="73" bestFit="1" customWidth="1"/>
    <col min="15" max="15" width="17.28515625" style="73" bestFit="1" customWidth="1"/>
    <col min="16" max="16" width="9.140625" style="73"/>
    <col min="17" max="17" width="22" style="73" bestFit="1" customWidth="1"/>
    <col min="18" max="18" width="9.140625" style="73"/>
    <col min="19" max="20" width="15" style="73" bestFit="1" customWidth="1"/>
    <col min="21" max="22" width="12.5703125" style="73" bestFit="1" customWidth="1"/>
    <col min="23" max="25" width="9.140625" style="73"/>
    <col min="26" max="26" width="44.140625" style="73" customWidth="1"/>
    <col min="27" max="27" width="16.85546875" style="73" bestFit="1" customWidth="1"/>
    <col min="28" max="28" width="15.28515625" style="73" bestFit="1" customWidth="1"/>
    <col min="29" max="29" width="15.140625" style="73" bestFit="1" customWidth="1"/>
    <col min="30" max="30" width="16.85546875" style="73" bestFit="1" customWidth="1"/>
    <col min="31" max="31" width="15.28515625" style="73" bestFit="1" customWidth="1"/>
    <col min="32" max="33" width="16.85546875" style="73" bestFit="1" customWidth="1"/>
    <col min="34" max="43" width="14.42578125" style="73" customWidth="1"/>
    <col min="44" max="16384" width="9.140625" style="73"/>
  </cols>
  <sheetData>
    <row r="1" spans="1:7">
      <c r="A1" s="198" t="s">
        <v>416</v>
      </c>
      <c r="B1" s="198"/>
      <c r="C1" s="602" t="s">
        <v>422</v>
      </c>
      <c r="D1" s="602" t="s">
        <v>412</v>
      </c>
      <c r="E1" s="602" t="s">
        <v>413</v>
      </c>
      <c r="F1" s="602" t="s">
        <v>414</v>
      </c>
    </row>
    <row r="2" spans="1:7">
      <c r="A2" s="198" t="s">
        <v>847</v>
      </c>
      <c r="B2" s="198" t="s">
        <v>991</v>
      </c>
      <c r="C2" s="198" t="s">
        <v>662</v>
      </c>
      <c r="D2" s="198" t="s">
        <v>662</v>
      </c>
      <c r="E2" s="198" t="s">
        <v>662</v>
      </c>
      <c r="F2" s="198" t="s">
        <v>662</v>
      </c>
      <c r="G2" s="74" t="s">
        <v>415</v>
      </c>
    </row>
    <row r="3" spans="1:7">
      <c r="A3" s="614">
        <v>40057</v>
      </c>
      <c r="B3" s="615" t="b">
        <f>MOD(MONTH(A3)+1,3)=2</f>
        <v>0</v>
      </c>
      <c r="C3" s="606">
        <v>10285000000</v>
      </c>
      <c r="D3" s="607">
        <v>781200000</v>
      </c>
      <c r="E3" s="607">
        <v>439200000</v>
      </c>
      <c r="F3" s="608">
        <v>548450000</v>
      </c>
      <c r="G3" s="603">
        <f>SUM(C3:F3)</f>
        <v>12053850000</v>
      </c>
    </row>
    <row r="4" spans="1:7">
      <c r="A4" s="616">
        <v>40106</v>
      </c>
      <c r="B4" s="617" t="b">
        <f>MOD(MONTH(A4)+2,3)=2</f>
        <v>0</v>
      </c>
      <c r="C4" s="609">
        <v>10285000000</v>
      </c>
      <c r="D4" s="263">
        <v>781200000</v>
      </c>
      <c r="E4" s="263">
        <v>439200000</v>
      </c>
      <c r="F4" s="610">
        <v>548450000</v>
      </c>
      <c r="G4" s="604">
        <f t="shared" ref="G4:G53" si="0">SUM(C4:F4)</f>
        <v>12053850000</v>
      </c>
    </row>
    <row r="5" spans="1:7">
      <c r="A5" s="616">
        <v>40137</v>
      </c>
      <c r="B5" s="617" t="b">
        <f t="shared" ref="B5:B36" si="1">MOD(MONTH(A5)+1,3)=0</f>
        <v>1</v>
      </c>
      <c r="C5" s="609">
        <v>10285000000</v>
      </c>
      <c r="D5" s="263">
        <v>781200000</v>
      </c>
      <c r="E5" s="263">
        <v>439200000</v>
      </c>
      <c r="F5" s="610">
        <v>548450000</v>
      </c>
      <c r="G5" s="604">
        <f t="shared" si="0"/>
        <v>12053850000</v>
      </c>
    </row>
    <row r="6" spans="1:7">
      <c r="A6" s="616">
        <v>40167</v>
      </c>
      <c r="B6" s="617" t="b">
        <f t="shared" si="1"/>
        <v>0</v>
      </c>
      <c r="C6" s="609">
        <v>10285000000</v>
      </c>
      <c r="D6" s="263">
        <v>781200000</v>
      </c>
      <c r="E6" s="263">
        <v>439200000</v>
      </c>
      <c r="F6" s="610">
        <v>548450000</v>
      </c>
      <c r="G6" s="604">
        <f t="shared" si="0"/>
        <v>12053850000</v>
      </c>
    </row>
    <row r="7" spans="1:7">
      <c r="A7" s="616">
        <v>40198</v>
      </c>
      <c r="B7" s="617" t="b">
        <f t="shared" si="1"/>
        <v>0</v>
      </c>
      <c r="C7" s="609">
        <v>10285000000</v>
      </c>
      <c r="D7" s="263">
        <v>781200000</v>
      </c>
      <c r="E7" s="263">
        <v>439200000</v>
      </c>
      <c r="F7" s="610">
        <v>548450000</v>
      </c>
      <c r="G7" s="604">
        <f t="shared" si="0"/>
        <v>12053850000</v>
      </c>
    </row>
    <row r="8" spans="1:7">
      <c r="A8" s="616">
        <v>40231</v>
      </c>
      <c r="B8" s="617" t="b">
        <f t="shared" si="1"/>
        <v>1</v>
      </c>
      <c r="C8" s="609">
        <v>10285000000</v>
      </c>
      <c r="D8" s="263">
        <v>781200000</v>
      </c>
      <c r="E8" s="263">
        <v>439200000</v>
      </c>
      <c r="F8" s="610">
        <v>548450000</v>
      </c>
      <c r="G8" s="604">
        <f t="shared" si="0"/>
        <v>12053850000</v>
      </c>
    </row>
    <row r="9" spans="1:7">
      <c r="A9" s="616">
        <v>40257</v>
      </c>
      <c r="B9" s="617" t="b">
        <f t="shared" si="1"/>
        <v>0</v>
      </c>
      <c r="C9" s="609">
        <v>10285000000</v>
      </c>
      <c r="D9" s="263">
        <v>781200000</v>
      </c>
      <c r="E9" s="263">
        <v>439200000</v>
      </c>
      <c r="F9" s="610">
        <v>548450000</v>
      </c>
      <c r="G9" s="604">
        <f t="shared" si="0"/>
        <v>12053850000</v>
      </c>
    </row>
    <row r="10" spans="1:7">
      <c r="A10" s="616">
        <v>40288</v>
      </c>
      <c r="B10" s="617" t="b">
        <f t="shared" si="1"/>
        <v>0</v>
      </c>
      <c r="C10" s="609">
        <v>10285000000</v>
      </c>
      <c r="D10" s="263">
        <v>781200000</v>
      </c>
      <c r="E10" s="263">
        <v>439200000</v>
      </c>
      <c r="F10" s="610">
        <v>548450000</v>
      </c>
      <c r="G10" s="604">
        <f t="shared" si="0"/>
        <v>12053850000</v>
      </c>
    </row>
    <row r="11" spans="1:7">
      <c r="A11" s="616">
        <v>40318</v>
      </c>
      <c r="B11" s="617" t="b">
        <f t="shared" si="1"/>
        <v>1</v>
      </c>
      <c r="C11" s="609">
        <v>10285000000</v>
      </c>
      <c r="D11" s="263">
        <v>781200000</v>
      </c>
      <c r="E11" s="263">
        <v>439200000</v>
      </c>
      <c r="F11" s="610">
        <v>548450000</v>
      </c>
      <c r="G11" s="604">
        <f t="shared" si="0"/>
        <v>12053850000</v>
      </c>
    </row>
    <row r="12" spans="1:7">
      <c r="A12" s="616">
        <v>40349</v>
      </c>
      <c r="B12" s="617" t="b">
        <f t="shared" si="1"/>
        <v>0</v>
      </c>
      <c r="C12" s="609">
        <v>10285000000</v>
      </c>
      <c r="D12" s="263">
        <v>781200000</v>
      </c>
      <c r="E12" s="263">
        <v>439200000</v>
      </c>
      <c r="F12" s="610">
        <v>548450000</v>
      </c>
      <c r="G12" s="604">
        <f t="shared" si="0"/>
        <v>12053850000</v>
      </c>
    </row>
    <row r="13" spans="1:7">
      <c r="A13" s="616">
        <v>40379</v>
      </c>
      <c r="B13" s="617" t="b">
        <f t="shared" si="1"/>
        <v>0</v>
      </c>
      <c r="C13" s="609">
        <v>10285000000</v>
      </c>
      <c r="D13" s="263">
        <v>781200000</v>
      </c>
      <c r="E13" s="263">
        <v>439200000</v>
      </c>
      <c r="F13" s="610">
        <v>548450000</v>
      </c>
      <c r="G13" s="604">
        <f t="shared" si="0"/>
        <v>12053850000</v>
      </c>
    </row>
    <row r="14" spans="1:7">
      <c r="A14" s="616">
        <v>40410</v>
      </c>
      <c r="B14" s="617" t="b">
        <f t="shared" si="1"/>
        <v>1</v>
      </c>
      <c r="C14" s="609">
        <v>10285000000</v>
      </c>
      <c r="D14" s="263">
        <v>781200000</v>
      </c>
      <c r="E14" s="263">
        <v>439200000</v>
      </c>
      <c r="F14" s="610">
        <v>548450000</v>
      </c>
      <c r="G14" s="604">
        <f t="shared" si="0"/>
        <v>12053850000</v>
      </c>
    </row>
    <row r="15" spans="1:7">
      <c r="A15" s="616">
        <v>40441</v>
      </c>
      <c r="B15" s="617" t="b">
        <f t="shared" si="1"/>
        <v>0</v>
      </c>
      <c r="C15" s="609">
        <v>10285000000</v>
      </c>
      <c r="D15" s="263">
        <v>781200000</v>
      </c>
      <c r="E15" s="263">
        <v>439200000</v>
      </c>
      <c r="F15" s="610">
        <v>548450000</v>
      </c>
      <c r="G15" s="604">
        <f t="shared" si="0"/>
        <v>12053850000</v>
      </c>
    </row>
    <row r="16" spans="1:7">
      <c r="A16" s="616">
        <v>40471</v>
      </c>
      <c r="B16" s="617" t="b">
        <f t="shared" si="1"/>
        <v>0</v>
      </c>
      <c r="C16" s="609">
        <v>10285000000</v>
      </c>
      <c r="D16" s="263">
        <v>781200000</v>
      </c>
      <c r="E16" s="263">
        <v>439200000</v>
      </c>
      <c r="F16" s="610">
        <v>548450000</v>
      </c>
      <c r="G16" s="604">
        <f t="shared" si="0"/>
        <v>12053850000</v>
      </c>
    </row>
    <row r="17" spans="1:7">
      <c r="A17" s="616">
        <v>40504</v>
      </c>
      <c r="B17" s="617" t="b">
        <f t="shared" si="1"/>
        <v>1</v>
      </c>
      <c r="C17" s="609">
        <v>10285000000</v>
      </c>
      <c r="D17" s="263">
        <v>781200000</v>
      </c>
      <c r="E17" s="263">
        <v>439200000</v>
      </c>
      <c r="F17" s="610">
        <v>548450000</v>
      </c>
      <c r="G17" s="604">
        <f t="shared" si="0"/>
        <v>12053850000</v>
      </c>
    </row>
    <row r="18" spans="1:7">
      <c r="A18" s="616">
        <v>40532</v>
      </c>
      <c r="B18" s="617" t="b">
        <f t="shared" si="1"/>
        <v>0</v>
      </c>
      <c r="C18" s="609">
        <v>10285000000</v>
      </c>
      <c r="D18" s="263">
        <v>781200000</v>
      </c>
      <c r="E18" s="263">
        <v>439200000</v>
      </c>
      <c r="F18" s="610">
        <v>548450000</v>
      </c>
      <c r="G18" s="604">
        <f t="shared" si="0"/>
        <v>12053850000</v>
      </c>
    </row>
    <row r="19" spans="1:7">
      <c r="A19" s="616">
        <v>40563</v>
      </c>
      <c r="B19" s="617" t="b">
        <f t="shared" si="1"/>
        <v>0</v>
      </c>
      <c r="C19" s="609">
        <v>10285000000</v>
      </c>
      <c r="D19" s="263">
        <v>781200000</v>
      </c>
      <c r="E19" s="263">
        <v>439200000</v>
      </c>
      <c r="F19" s="610">
        <v>548450000</v>
      </c>
      <c r="G19" s="604">
        <f t="shared" si="0"/>
        <v>12053850000</v>
      </c>
    </row>
    <row r="20" spans="1:7">
      <c r="A20" s="616">
        <v>40594</v>
      </c>
      <c r="B20" s="617" t="b">
        <f t="shared" si="1"/>
        <v>1</v>
      </c>
      <c r="C20" s="609">
        <v>10285000000</v>
      </c>
      <c r="D20" s="263">
        <v>781200000</v>
      </c>
      <c r="E20" s="263">
        <v>439200000</v>
      </c>
      <c r="F20" s="610">
        <v>548450000</v>
      </c>
      <c r="G20" s="604">
        <f t="shared" si="0"/>
        <v>12053850000</v>
      </c>
    </row>
    <row r="21" spans="1:7">
      <c r="A21" s="616">
        <v>40622</v>
      </c>
      <c r="B21" s="617" t="b">
        <f t="shared" si="1"/>
        <v>0</v>
      </c>
      <c r="C21" s="609">
        <v>10285000000</v>
      </c>
      <c r="D21" s="263">
        <v>781200000</v>
      </c>
      <c r="E21" s="263">
        <v>439200000</v>
      </c>
      <c r="F21" s="610">
        <v>548450000</v>
      </c>
      <c r="G21" s="604">
        <f t="shared" si="0"/>
        <v>12053850000</v>
      </c>
    </row>
    <row r="22" spans="1:7">
      <c r="A22" s="616">
        <v>40653</v>
      </c>
      <c r="B22" s="617" t="b">
        <f t="shared" si="1"/>
        <v>0</v>
      </c>
      <c r="C22" s="609">
        <v>10285000000</v>
      </c>
      <c r="D22" s="263">
        <v>781200000</v>
      </c>
      <c r="E22" s="263">
        <v>439200000</v>
      </c>
      <c r="F22" s="610">
        <v>548450000</v>
      </c>
      <c r="G22" s="604">
        <f t="shared" si="0"/>
        <v>12053850000</v>
      </c>
    </row>
    <row r="23" spans="1:7">
      <c r="A23" s="616">
        <v>40683</v>
      </c>
      <c r="B23" s="617" t="b">
        <f t="shared" si="1"/>
        <v>1</v>
      </c>
      <c r="C23" s="609">
        <v>10285000000</v>
      </c>
      <c r="D23" s="263">
        <v>781200000</v>
      </c>
      <c r="E23" s="263">
        <v>439200000</v>
      </c>
      <c r="F23" s="610">
        <v>548450000</v>
      </c>
      <c r="G23" s="604">
        <f t="shared" si="0"/>
        <v>12053850000</v>
      </c>
    </row>
    <row r="24" spans="1:7">
      <c r="A24" s="616">
        <v>40714</v>
      </c>
      <c r="B24" s="617" t="b">
        <f t="shared" si="1"/>
        <v>0</v>
      </c>
      <c r="C24" s="609">
        <v>10285000000</v>
      </c>
      <c r="D24" s="263">
        <v>781200000</v>
      </c>
      <c r="E24" s="263">
        <v>439200000</v>
      </c>
      <c r="F24" s="610">
        <v>548450000</v>
      </c>
      <c r="G24" s="604">
        <f t="shared" si="0"/>
        <v>12053850000</v>
      </c>
    </row>
    <row r="25" spans="1:7">
      <c r="A25" s="616">
        <v>40744</v>
      </c>
      <c r="B25" s="617" t="b">
        <f t="shared" si="1"/>
        <v>0</v>
      </c>
      <c r="C25" s="609">
        <v>10285000000</v>
      </c>
      <c r="D25" s="263">
        <v>781200000</v>
      </c>
      <c r="E25" s="263">
        <v>439200000</v>
      </c>
      <c r="F25" s="610">
        <v>548450000</v>
      </c>
      <c r="G25" s="604">
        <f t="shared" si="0"/>
        <v>12053850000</v>
      </c>
    </row>
    <row r="26" spans="1:7">
      <c r="A26" s="616">
        <v>40775</v>
      </c>
      <c r="B26" s="617" t="b">
        <f t="shared" si="1"/>
        <v>1</v>
      </c>
      <c r="C26" s="609">
        <v>10285000000</v>
      </c>
      <c r="D26" s="263">
        <v>781200000</v>
      </c>
      <c r="E26" s="263">
        <v>439200000</v>
      </c>
      <c r="F26" s="610">
        <v>548450000</v>
      </c>
      <c r="G26" s="604">
        <f t="shared" si="0"/>
        <v>12053850000</v>
      </c>
    </row>
    <row r="27" spans="1:7">
      <c r="A27" s="616">
        <v>40806</v>
      </c>
      <c r="B27" s="617" t="b">
        <f t="shared" si="1"/>
        <v>0</v>
      </c>
      <c r="C27" s="609">
        <v>10285000000</v>
      </c>
      <c r="D27" s="263">
        <v>781200000</v>
      </c>
      <c r="E27" s="263">
        <v>439200000</v>
      </c>
      <c r="F27" s="610">
        <v>548450000</v>
      </c>
      <c r="G27" s="604">
        <f t="shared" si="0"/>
        <v>12053850000</v>
      </c>
    </row>
    <row r="28" spans="1:7">
      <c r="A28" s="616">
        <v>40836</v>
      </c>
      <c r="B28" s="617" t="b">
        <f t="shared" si="1"/>
        <v>0</v>
      </c>
      <c r="C28" s="609">
        <v>10285000000</v>
      </c>
      <c r="D28" s="263">
        <v>781200000</v>
      </c>
      <c r="E28" s="263">
        <v>439200000</v>
      </c>
      <c r="F28" s="610">
        <v>548450000</v>
      </c>
      <c r="G28" s="604">
        <f t="shared" si="0"/>
        <v>12053850000</v>
      </c>
    </row>
    <row r="29" spans="1:7">
      <c r="A29" s="616">
        <v>40867</v>
      </c>
      <c r="B29" s="617" t="b">
        <f t="shared" si="1"/>
        <v>1</v>
      </c>
      <c r="C29" s="609">
        <v>10285000000</v>
      </c>
      <c r="D29" s="263">
        <v>781200000</v>
      </c>
      <c r="E29" s="263">
        <v>439200000</v>
      </c>
      <c r="F29" s="610">
        <v>548450000</v>
      </c>
      <c r="G29" s="604">
        <f t="shared" si="0"/>
        <v>12053850000</v>
      </c>
    </row>
    <row r="30" spans="1:7">
      <c r="A30" s="616">
        <v>40897</v>
      </c>
      <c r="B30" s="617" t="b">
        <f t="shared" si="1"/>
        <v>0</v>
      </c>
      <c r="C30" s="609">
        <v>10285000000</v>
      </c>
      <c r="D30" s="263">
        <v>781200000</v>
      </c>
      <c r="E30" s="263">
        <v>439200000</v>
      </c>
      <c r="F30" s="610">
        <v>548450000</v>
      </c>
      <c r="G30" s="604">
        <f t="shared" si="0"/>
        <v>12053850000</v>
      </c>
    </row>
    <row r="31" spans="1:7">
      <c r="A31" s="616">
        <v>40928</v>
      </c>
      <c r="B31" s="617" t="b">
        <f t="shared" si="1"/>
        <v>0</v>
      </c>
      <c r="C31" s="609">
        <v>10285000000</v>
      </c>
      <c r="D31" s="263">
        <v>781200000</v>
      </c>
      <c r="E31" s="263">
        <v>439200000</v>
      </c>
      <c r="F31" s="610">
        <v>548450000</v>
      </c>
      <c r="G31" s="604">
        <f t="shared" si="0"/>
        <v>12053850000</v>
      </c>
    </row>
    <row r="32" spans="1:7">
      <c r="A32" s="616">
        <v>40959</v>
      </c>
      <c r="B32" s="617" t="b">
        <f t="shared" si="1"/>
        <v>1</v>
      </c>
      <c r="C32" s="609">
        <v>10285000000</v>
      </c>
      <c r="D32" s="263">
        <v>781200000</v>
      </c>
      <c r="E32" s="263">
        <v>439200000</v>
      </c>
      <c r="F32" s="610">
        <v>548450000</v>
      </c>
      <c r="G32" s="604">
        <f t="shared" si="0"/>
        <v>12053850000</v>
      </c>
    </row>
    <row r="33" spans="1:7">
      <c r="A33" s="616">
        <v>40988</v>
      </c>
      <c r="B33" s="617" t="b">
        <f t="shared" si="1"/>
        <v>0</v>
      </c>
      <c r="C33" s="609">
        <v>10285000000</v>
      </c>
      <c r="D33" s="263">
        <v>781200000</v>
      </c>
      <c r="E33" s="263">
        <v>439200000</v>
      </c>
      <c r="F33" s="610">
        <v>548450000</v>
      </c>
      <c r="G33" s="604">
        <f t="shared" si="0"/>
        <v>12053850000</v>
      </c>
    </row>
    <row r="34" spans="1:7">
      <c r="A34" s="616">
        <v>41019</v>
      </c>
      <c r="B34" s="617" t="b">
        <f t="shared" si="1"/>
        <v>0</v>
      </c>
      <c r="C34" s="609">
        <v>10285000000</v>
      </c>
      <c r="D34" s="263">
        <v>781200000</v>
      </c>
      <c r="E34" s="263">
        <v>439200000</v>
      </c>
      <c r="F34" s="610">
        <v>548450000</v>
      </c>
      <c r="G34" s="604">
        <f t="shared" si="0"/>
        <v>12053850000</v>
      </c>
    </row>
    <row r="35" spans="1:7">
      <c r="A35" s="616">
        <v>41049</v>
      </c>
      <c r="B35" s="617" t="b">
        <f t="shared" si="1"/>
        <v>1</v>
      </c>
      <c r="C35" s="609">
        <v>10285000000</v>
      </c>
      <c r="D35" s="263">
        <v>781200000</v>
      </c>
      <c r="E35" s="263">
        <v>439200000</v>
      </c>
      <c r="F35" s="610">
        <v>548450000</v>
      </c>
      <c r="G35" s="604">
        <f t="shared" si="0"/>
        <v>12053850000</v>
      </c>
    </row>
    <row r="36" spans="1:7">
      <c r="A36" s="616">
        <v>41080</v>
      </c>
      <c r="B36" s="617" t="b">
        <f t="shared" si="1"/>
        <v>0</v>
      </c>
      <c r="C36" s="609">
        <v>10285000000</v>
      </c>
      <c r="D36" s="263">
        <v>781200000</v>
      </c>
      <c r="E36" s="263">
        <v>439200000</v>
      </c>
      <c r="F36" s="610">
        <v>548450000</v>
      </c>
      <c r="G36" s="604">
        <f t="shared" si="0"/>
        <v>12053850000</v>
      </c>
    </row>
    <row r="37" spans="1:7">
      <c r="A37" s="616">
        <v>41110</v>
      </c>
      <c r="B37" s="617" t="b">
        <f t="shared" ref="B37:B101" si="2">MOD(MONTH(A37)+1,3)=0</f>
        <v>0</v>
      </c>
      <c r="C37" s="609">
        <v>10285000000</v>
      </c>
      <c r="D37" s="263">
        <v>781200000</v>
      </c>
      <c r="E37" s="263">
        <v>439200000</v>
      </c>
      <c r="F37" s="610">
        <v>548450000</v>
      </c>
      <c r="G37" s="604">
        <f t="shared" si="0"/>
        <v>12053850000</v>
      </c>
    </row>
    <row r="38" spans="1:7">
      <c r="A38" s="616">
        <v>41141</v>
      </c>
      <c r="B38" s="617" t="b">
        <f t="shared" si="2"/>
        <v>1</v>
      </c>
      <c r="C38" s="609">
        <v>10285000000</v>
      </c>
      <c r="D38" s="263">
        <v>781200000</v>
      </c>
      <c r="E38" s="263">
        <v>439200000</v>
      </c>
      <c r="F38" s="610">
        <v>548450000</v>
      </c>
      <c r="G38" s="604">
        <f t="shared" si="0"/>
        <v>12053850000</v>
      </c>
    </row>
    <row r="39" spans="1:7">
      <c r="A39" s="616">
        <v>41172</v>
      </c>
      <c r="B39" s="617" t="b">
        <f t="shared" si="2"/>
        <v>0</v>
      </c>
      <c r="C39" s="609">
        <v>10285000000</v>
      </c>
      <c r="D39" s="263">
        <v>781200000</v>
      </c>
      <c r="E39" s="263">
        <v>439200000</v>
      </c>
      <c r="F39" s="610">
        <v>548450000</v>
      </c>
      <c r="G39" s="604">
        <f t="shared" si="0"/>
        <v>12053850000</v>
      </c>
    </row>
    <row r="40" spans="1:7">
      <c r="A40" s="616">
        <v>41202</v>
      </c>
      <c r="B40" s="617" t="b">
        <f t="shared" si="2"/>
        <v>0</v>
      </c>
      <c r="C40" s="609">
        <v>10285000000</v>
      </c>
      <c r="D40" s="263">
        <v>781200000</v>
      </c>
      <c r="E40" s="263">
        <v>439200000</v>
      </c>
      <c r="F40" s="610">
        <v>548450000</v>
      </c>
      <c r="G40" s="604">
        <f t="shared" si="0"/>
        <v>12053850000</v>
      </c>
    </row>
    <row r="41" spans="1:7">
      <c r="A41" s="616">
        <v>41233</v>
      </c>
      <c r="B41" s="617" t="b">
        <f t="shared" si="2"/>
        <v>1</v>
      </c>
      <c r="C41" s="609">
        <v>10285000000</v>
      </c>
      <c r="D41" s="263">
        <v>781200000</v>
      </c>
      <c r="E41" s="263">
        <v>439200000</v>
      </c>
      <c r="F41" s="610">
        <v>548450000</v>
      </c>
      <c r="G41" s="604">
        <f t="shared" si="0"/>
        <v>12053850000</v>
      </c>
    </row>
    <row r="42" spans="1:7">
      <c r="A42" s="616">
        <v>41263</v>
      </c>
      <c r="B42" s="617" t="b">
        <f t="shared" si="2"/>
        <v>0</v>
      </c>
      <c r="C42" s="609">
        <v>10285000000</v>
      </c>
      <c r="D42" s="263">
        <v>781200000</v>
      </c>
      <c r="E42" s="263">
        <v>439200000</v>
      </c>
      <c r="F42" s="610">
        <v>548450000</v>
      </c>
      <c r="G42" s="604">
        <f t="shared" si="0"/>
        <v>12053850000</v>
      </c>
    </row>
    <row r="43" spans="1:7">
      <c r="A43" s="616">
        <v>41294</v>
      </c>
      <c r="B43" s="617" t="b">
        <f t="shared" si="2"/>
        <v>0</v>
      </c>
      <c r="C43" s="609">
        <v>10285000000</v>
      </c>
      <c r="D43" s="263">
        <v>781200000</v>
      </c>
      <c r="E43" s="263">
        <v>439200000</v>
      </c>
      <c r="F43" s="610">
        <v>548450000</v>
      </c>
      <c r="G43" s="604">
        <f t="shared" si="0"/>
        <v>12053850000</v>
      </c>
    </row>
    <row r="44" spans="1:7">
      <c r="A44" s="616">
        <v>41325</v>
      </c>
      <c r="B44" s="617" t="b">
        <f t="shared" si="2"/>
        <v>1</v>
      </c>
      <c r="C44" s="609">
        <v>10285000000</v>
      </c>
      <c r="D44" s="263">
        <v>781200000</v>
      </c>
      <c r="E44" s="263">
        <v>439200000</v>
      </c>
      <c r="F44" s="610">
        <v>548450000</v>
      </c>
      <c r="G44" s="604">
        <f t="shared" si="0"/>
        <v>12053850000</v>
      </c>
    </row>
    <row r="45" spans="1:7">
      <c r="A45" s="616">
        <v>41353</v>
      </c>
      <c r="B45" s="617" t="b">
        <f t="shared" si="2"/>
        <v>0</v>
      </c>
      <c r="C45" s="609">
        <v>10285000000</v>
      </c>
      <c r="D45" s="263">
        <v>781200000</v>
      </c>
      <c r="E45" s="263">
        <v>439200000</v>
      </c>
      <c r="F45" s="610">
        <v>548450000</v>
      </c>
      <c r="G45" s="604">
        <f t="shared" si="0"/>
        <v>12053850000</v>
      </c>
    </row>
    <row r="46" spans="1:7">
      <c r="A46" s="616">
        <v>41384</v>
      </c>
      <c r="B46" s="617" t="b">
        <f t="shared" si="2"/>
        <v>0</v>
      </c>
      <c r="C46" s="609">
        <v>10285000000</v>
      </c>
      <c r="D46" s="263">
        <v>781200000</v>
      </c>
      <c r="E46" s="263">
        <v>439200000</v>
      </c>
      <c r="F46" s="610">
        <v>548450000</v>
      </c>
      <c r="G46" s="604">
        <f t="shared" si="0"/>
        <v>12053850000</v>
      </c>
    </row>
    <row r="47" spans="1:7">
      <c r="A47" s="616">
        <v>41414</v>
      </c>
      <c r="B47" s="617" t="b">
        <f t="shared" si="2"/>
        <v>1</v>
      </c>
      <c r="C47" s="609">
        <v>10285000000</v>
      </c>
      <c r="D47" s="263">
        <v>781200000</v>
      </c>
      <c r="E47" s="263">
        <v>439200000</v>
      </c>
      <c r="F47" s="610">
        <v>548450000</v>
      </c>
      <c r="G47" s="604">
        <f t="shared" si="0"/>
        <v>12053850000</v>
      </c>
    </row>
    <row r="48" spans="1:7">
      <c r="A48" s="616">
        <v>41445</v>
      </c>
      <c r="B48" s="617" t="b">
        <f t="shared" si="2"/>
        <v>0</v>
      </c>
      <c r="C48" s="609">
        <v>10285000000</v>
      </c>
      <c r="D48" s="263">
        <v>781200000</v>
      </c>
      <c r="E48" s="263">
        <v>439200000</v>
      </c>
      <c r="F48" s="610">
        <v>548450000</v>
      </c>
      <c r="G48" s="604">
        <f t="shared" si="0"/>
        <v>12053850000</v>
      </c>
    </row>
    <row r="49" spans="1:48">
      <c r="A49" s="616">
        <v>41475</v>
      </c>
      <c r="B49" s="617" t="b">
        <f t="shared" si="2"/>
        <v>0</v>
      </c>
      <c r="C49" s="609">
        <v>10285000000</v>
      </c>
      <c r="D49" s="263">
        <v>781200000</v>
      </c>
      <c r="E49" s="263">
        <v>439200000</v>
      </c>
      <c r="F49" s="610">
        <v>548450000</v>
      </c>
      <c r="G49" s="604">
        <f t="shared" si="0"/>
        <v>12053850000</v>
      </c>
    </row>
    <row r="50" spans="1:48">
      <c r="A50" s="616">
        <v>41506</v>
      </c>
      <c r="B50" s="617" t="b">
        <f t="shared" si="2"/>
        <v>1</v>
      </c>
      <c r="C50" s="609">
        <v>10285000000</v>
      </c>
      <c r="D50" s="263">
        <v>781200000</v>
      </c>
      <c r="E50" s="263">
        <v>439200000</v>
      </c>
      <c r="F50" s="610">
        <v>548450000</v>
      </c>
      <c r="G50" s="604">
        <f t="shared" si="0"/>
        <v>12053850000</v>
      </c>
    </row>
    <row r="51" spans="1:48">
      <c r="A51" s="616">
        <v>41537</v>
      </c>
      <c r="B51" s="617" t="b">
        <f t="shared" si="2"/>
        <v>0</v>
      </c>
      <c r="C51" s="609">
        <v>10285000000</v>
      </c>
      <c r="D51" s="263">
        <v>781200000</v>
      </c>
      <c r="E51" s="263">
        <v>439200000</v>
      </c>
      <c r="F51" s="610">
        <v>548450000</v>
      </c>
      <c r="G51" s="604">
        <f t="shared" si="0"/>
        <v>12053850000</v>
      </c>
    </row>
    <row r="52" spans="1:48">
      <c r="A52" s="616">
        <v>41567</v>
      </c>
      <c r="B52" s="617" t="b">
        <f t="shared" si="2"/>
        <v>0</v>
      </c>
      <c r="C52" s="609">
        <v>10285000000</v>
      </c>
      <c r="D52" s="263">
        <v>781200000</v>
      </c>
      <c r="E52" s="263">
        <v>439200000</v>
      </c>
      <c r="F52" s="610">
        <v>548450000</v>
      </c>
      <c r="G52" s="604">
        <f t="shared" si="0"/>
        <v>12053850000</v>
      </c>
    </row>
    <row r="53" spans="1:48">
      <c r="A53" s="618">
        <v>41598</v>
      </c>
      <c r="B53" s="619" t="b">
        <f t="shared" si="2"/>
        <v>1</v>
      </c>
      <c r="C53" s="611">
        <v>9630977494</v>
      </c>
      <c r="D53" s="612">
        <v>781200000</v>
      </c>
      <c r="E53" s="612">
        <v>439200000</v>
      </c>
      <c r="F53" s="613">
        <v>548450000</v>
      </c>
      <c r="G53" s="605">
        <f t="shared" si="0"/>
        <v>11399827494</v>
      </c>
    </row>
    <row r="54" spans="1:48">
      <c r="A54" s="205"/>
      <c r="B54" s="205"/>
      <c r="C54" s="216"/>
      <c r="D54" s="216"/>
      <c r="E54" s="216"/>
      <c r="F54" s="216"/>
    </row>
    <row r="55" spans="1:48">
      <c r="A55" s="205"/>
      <c r="B55" s="205"/>
      <c r="C55" s="216"/>
      <c r="D55" s="216"/>
      <c r="E55" s="216"/>
      <c r="F55" s="216"/>
    </row>
    <row r="56" spans="1:48">
      <c r="A56" s="205"/>
      <c r="B56" s="205"/>
      <c r="C56" s="216"/>
      <c r="D56" s="216"/>
      <c r="E56" s="216"/>
      <c r="F56" s="216"/>
    </row>
    <row r="57" spans="1:48">
      <c r="A57" s="205"/>
      <c r="B57" s="205"/>
      <c r="C57" s="216"/>
      <c r="D57" s="216"/>
      <c r="E57" s="216"/>
      <c r="F57" s="216"/>
    </row>
    <row r="58" spans="1:48">
      <c r="A58" s="205"/>
      <c r="B58" s="205"/>
      <c r="C58" s="216"/>
      <c r="D58" s="216"/>
      <c r="E58" s="216"/>
      <c r="F58" s="216"/>
    </row>
    <row r="59" spans="1:48">
      <c r="A59" s="248" t="s">
        <v>992</v>
      </c>
      <c r="B59" s="205"/>
      <c r="C59" s="620" t="str">
        <f>C1</f>
        <v>2009-1-A</v>
      </c>
      <c r="D59" s="620" t="str">
        <f>D1</f>
        <v>2009-1-B</v>
      </c>
      <c r="E59" s="620" t="str">
        <f>E1</f>
        <v>2009-1-C</v>
      </c>
      <c r="F59" s="620" t="str">
        <f>F1</f>
        <v>2009-1-D</v>
      </c>
      <c r="G59" s="621" t="s">
        <v>0</v>
      </c>
      <c r="H59" s="218"/>
      <c r="I59" s="626" t="s">
        <v>90</v>
      </c>
      <c r="J59" s="231"/>
      <c r="K59" s="620" t="s">
        <v>422</v>
      </c>
      <c r="L59" s="620" t="s">
        <v>412</v>
      </c>
      <c r="M59" s="620" t="s">
        <v>413</v>
      </c>
      <c r="N59" s="620" t="s">
        <v>414</v>
      </c>
      <c r="O59" s="621" t="s">
        <v>91</v>
      </c>
      <c r="P59" s="231"/>
      <c r="Q59" s="626" t="s">
        <v>990</v>
      </c>
      <c r="R59" s="231"/>
      <c r="S59" s="620" t="s">
        <v>422</v>
      </c>
      <c r="T59" s="620" t="s">
        <v>412</v>
      </c>
      <c r="U59" s="620" t="s">
        <v>413</v>
      </c>
      <c r="V59" s="620" t="s">
        <v>414</v>
      </c>
      <c r="W59" s="231"/>
      <c r="X59" s="231"/>
      <c r="Y59" s="231"/>
      <c r="Z59" s="218"/>
      <c r="AA59" s="231"/>
      <c r="AB59" s="231"/>
      <c r="AC59" s="231"/>
      <c r="AD59" s="231"/>
      <c r="AE59" s="231"/>
      <c r="AF59" s="231"/>
      <c r="AG59" s="231"/>
      <c r="AH59" s="231"/>
      <c r="AI59" s="231"/>
      <c r="AJ59" s="231"/>
      <c r="AK59" s="231"/>
      <c r="AL59" s="231"/>
      <c r="AM59" s="231"/>
      <c r="AN59" s="231"/>
      <c r="AO59" s="231"/>
      <c r="AP59" s="231"/>
      <c r="AQ59" s="231"/>
      <c r="AR59" s="231"/>
      <c r="AS59" s="231"/>
      <c r="AT59" s="231"/>
      <c r="AU59" s="231"/>
      <c r="AV59" s="231"/>
    </row>
    <row r="60" spans="1:48">
      <c r="A60" s="614">
        <v>40057</v>
      </c>
      <c r="B60" s="615" t="b">
        <f t="shared" si="2"/>
        <v>0</v>
      </c>
      <c r="C60" s="609">
        <v>0</v>
      </c>
      <c r="D60" s="263">
        <v>0</v>
      </c>
      <c r="E60" s="263">
        <v>0</v>
      </c>
      <c r="F60" s="610">
        <v>0</v>
      </c>
      <c r="G60" s="604">
        <f t="shared" ref="G60:G96" si="3">SUM(C60:F60)</f>
        <v>0</v>
      </c>
      <c r="H60" s="218"/>
      <c r="I60" s="237">
        <f>A60</f>
        <v>40057</v>
      </c>
      <c r="J60" s="237" t="b">
        <f>B60</f>
        <v>0</v>
      </c>
      <c r="K60" s="627"/>
      <c r="L60" s="628"/>
      <c r="M60" s="628"/>
      <c r="N60" s="628"/>
      <c r="O60" s="625">
        <f>SUM(K60:N60)</f>
        <v>0</v>
      </c>
      <c r="P60" s="231"/>
      <c r="Q60" s="237">
        <f>I60</f>
        <v>40057</v>
      </c>
      <c r="R60" s="237" t="b">
        <f>J60</f>
        <v>0</v>
      </c>
      <c r="S60" s="208">
        <f>C3</f>
        <v>10285000000</v>
      </c>
      <c r="T60" s="208">
        <f>D3</f>
        <v>781200000</v>
      </c>
      <c r="U60" s="208">
        <f>E3</f>
        <v>439200000</v>
      </c>
      <c r="V60" s="208">
        <f>F3</f>
        <v>548450000</v>
      </c>
      <c r="W60" s="231"/>
      <c r="X60" s="231"/>
      <c r="Y60" s="231"/>
      <c r="Z60" s="218"/>
      <c r="AA60" s="231"/>
      <c r="AB60" s="231"/>
      <c r="AC60" s="231"/>
      <c r="AD60" s="231"/>
      <c r="AE60" s="231"/>
      <c r="AF60" s="231"/>
      <c r="AG60" s="231"/>
      <c r="AH60" s="231"/>
      <c r="AI60" s="231"/>
      <c r="AJ60" s="231"/>
      <c r="AK60" s="231"/>
      <c r="AL60" s="231"/>
      <c r="AM60" s="231"/>
      <c r="AN60" s="231"/>
      <c r="AO60" s="231"/>
      <c r="AP60" s="231"/>
      <c r="AQ60" s="231"/>
      <c r="AR60" s="231"/>
      <c r="AS60" s="231"/>
      <c r="AT60" s="231"/>
      <c r="AU60" s="231"/>
      <c r="AV60" s="231"/>
    </row>
    <row r="61" spans="1:48">
      <c r="A61" s="616">
        <v>40106</v>
      </c>
      <c r="B61" s="617" t="b">
        <f t="shared" si="2"/>
        <v>0</v>
      </c>
      <c r="C61" s="609">
        <f t="shared" ref="C61:F80" si="4">ROUND((C3-C4),2)</f>
        <v>0</v>
      </c>
      <c r="D61" s="263">
        <f t="shared" si="4"/>
        <v>0</v>
      </c>
      <c r="E61" s="263">
        <f t="shared" si="4"/>
        <v>0</v>
      </c>
      <c r="F61" s="610">
        <f t="shared" si="4"/>
        <v>0</v>
      </c>
      <c r="G61" s="604">
        <f t="shared" si="3"/>
        <v>0</v>
      </c>
      <c r="H61" s="237"/>
      <c r="I61" s="237">
        <f t="shared" ref="I61:I111" si="5">A61</f>
        <v>40106</v>
      </c>
      <c r="J61" s="237" t="b">
        <f t="shared" ref="J61:J111" si="6">B61</f>
        <v>0</v>
      </c>
      <c r="K61" s="629"/>
      <c r="L61" s="630"/>
      <c r="M61" s="630"/>
      <c r="N61" s="630"/>
      <c r="O61" s="625">
        <f t="shared" ref="O61:O111" si="7">SUM(K61:N61)</f>
        <v>0</v>
      </c>
      <c r="P61" s="231"/>
      <c r="Q61" s="237">
        <f t="shared" ref="Q61:Q111" si="8">I61</f>
        <v>40106</v>
      </c>
      <c r="R61" s="237" t="b">
        <f t="shared" ref="R61:R111" si="9">J61</f>
        <v>0</v>
      </c>
      <c r="S61" s="208">
        <f>$S$60-SUM($K$60:K61)</f>
        <v>10285000000</v>
      </c>
      <c r="T61" s="208">
        <f>$T$60-SUM($L$60:L61)</f>
        <v>781200000</v>
      </c>
      <c r="U61" s="208">
        <f>$U$60-SUM($M$60:M61)</f>
        <v>439200000</v>
      </c>
      <c r="V61" s="208">
        <f>$V$60-SUM($N$60:N61)</f>
        <v>548450000</v>
      </c>
      <c r="W61" s="231"/>
      <c r="X61" s="231"/>
      <c r="Y61" s="231"/>
      <c r="Z61" s="237"/>
      <c r="AA61" s="259"/>
      <c r="AB61" s="259"/>
      <c r="AC61" s="259"/>
      <c r="AD61" s="259"/>
      <c r="AE61" s="259"/>
      <c r="AF61" s="259"/>
      <c r="AG61" s="259"/>
      <c r="AH61" s="259"/>
      <c r="AI61" s="259"/>
      <c r="AJ61" s="259"/>
      <c r="AK61" s="259"/>
      <c r="AL61" s="259"/>
      <c r="AM61" s="259"/>
      <c r="AN61" s="259"/>
      <c r="AO61" s="259"/>
      <c r="AP61" s="259"/>
      <c r="AQ61" s="259"/>
      <c r="AR61" s="231"/>
      <c r="AS61" s="231"/>
      <c r="AT61" s="231"/>
      <c r="AU61" s="231"/>
      <c r="AV61" s="231"/>
    </row>
    <row r="62" spans="1:48">
      <c r="A62" s="616">
        <v>40137</v>
      </c>
      <c r="B62" s="617" t="b">
        <f t="shared" si="2"/>
        <v>1</v>
      </c>
      <c r="C62" s="609">
        <f t="shared" si="4"/>
        <v>0</v>
      </c>
      <c r="D62" s="263">
        <f t="shared" si="4"/>
        <v>0</v>
      </c>
      <c r="E62" s="263">
        <f t="shared" si="4"/>
        <v>0</v>
      </c>
      <c r="F62" s="610">
        <f t="shared" si="4"/>
        <v>0</v>
      </c>
      <c r="G62" s="604">
        <f t="shared" si="3"/>
        <v>0</v>
      </c>
      <c r="H62" s="237"/>
      <c r="I62" s="237">
        <f t="shared" si="5"/>
        <v>40137</v>
      </c>
      <c r="J62" s="237" t="b">
        <f t="shared" si="6"/>
        <v>1</v>
      </c>
      <c r="K62" s="629"/>
      <c r="L62" s="630"/>
      <c r="M62" s="630"/>
      <c r="N62" s="630"/>
      <c r="O62" s="625">
        <f t="shared" si="7"/>
        <v>0</v>
      </c>
      <c r="P62" s="231"/>
      <c r="Q62" s="237">
        <f t="shared" si="8"/>
        <v>40137</v>
      </c>
      <c r="R62" s="237" t="b">
        <f t="shared" si="9"/>
        <v>1</v>
      </c>
      <c r="S62" s="208">
        <f>$S$60-SUM($K$60:K62)</f>
        <v>10285000000</v>
      </c>
      <c r="T62" s="208">
        <f>$T$60-SUM($L$60:L62)</f>
        <v>781200000</v>
      </c>
      <c r="U62" s="208">
        <f>$U$60-SUM($M$60:M62)</f>
        <v>439200000</v>
      </c>
      <c r="V62" s="208">
        <f>$V$60-SUM($N$60:N62)</f>
        <v>548450000</v>
      </c>
      <c r="W62" s="231"/>
      <c r="X62" s="231"/>
      <c r="Y62" s="231"/>
      <c r="Z62" s="237"/>
      <c r="AA62" s="259"/>
      <c r="AB62" s="259"/>
      <c r="AC62" s="259"/>
      <c r="AD62" s="259"/>
      <c r="AE62" s="259"/>
      <c r="AF62" s="259"/>
      <c r="AG62" s="259"/>
      <c r="AH62" s="259"/>
      <c r="AI62" s="259"/>
      <c r="AJ62" s="259"/>
      <c r="AK62" s="259"/>
      <c r="AL62" s="259"/>
      <c r="AM62" s="259"/>
      <c r="AN62" s="259"/>
      <c r="AO62" s="259"/>
      <c r="AP62" s="259"/>
      <c r="AQ62" s="259"/>
      <c r="AR62" s="231"/>
      <c r="AS62" s="231"/>
      <c r="AT62" s="231"/>
      <c r="AU62" s="231"/>
      <c r="AV62" s="231"/>
    </row>
    <row r="63" spans="1:48">
      <c r="A63" s="616">
        <v>40167</v>
      </c>
      <c r="B63" s="617" t="b">
        <f t="shared" si="2"/>
        <v>0</v>
      </c>
      <c r="C63" s="609">
        <f t="shared" si="4"/>
        <v>0</v>
      </c>
      <c r="D63" s="263">
        <f t="shared" si="4"/>
        <v>0</v>
      </c>
      <c r="E63" s="263">
        <f t="shared" si="4"/>
        <v>0</v>
      </c>
      <c r="F63" s="610">
        <f t="shared" si="4"/>
        <v>0</v>
      </c>
      <c r="G63" s="604">
        <f t="shared" si="3"/>
        <v>0</v>
      </c>
      <c r="H63" s="237"/>
      <c r="I63" s="237">
        <f t="shared" si="5"/>
        <v>40167</v>
      </c>
      <c r="J63" s="237" t="b">
        <f t="shared" si="6"/>
        <v>0</v>
      </c>
      <c r="K63" s="629"/>
      <c r="L63" s="630"/>
      <c r="M63" s="630"/>
      <c r="N63" s="630"/>
      <c r="O63" s="625">
        <f t="shared" si="7"/>
        <v>0</v>
      </c>
      <c r="P63" s="231"/>
      <c r="Q63" s="237">
        <f t="shared" si="8"/>
        <v>40167</v>
      </c>
      <c r="R63" s="237" t="b">
        <f t="shared" si="9"/>
        <v>0</v>
      </c>
      <c r="S63" s="208">
        <f>$S$60-SUM($K$60:K63)</f>
        <v>10285000000</v>
      </c>
      <c r="T63" s="208">
        <f>$T$60-SUM($L$60:L63)</f>
        <v>781200000</v>
      </c>
      <c r="U63" s="208">
        <f>$U$60-SUM($M$60:M63)</f>
        <v>439200000</v>
      </c>
      <c r="V63" s="208">
        <f>$V$60-SUM($N$60:N63)</f>
        <v>548450000</v>
      </c>
      <c r="W63" s="231"/>
      <c r="X63" s="231"/>
      <c r="Y63" s="231"/>
      <c r="Z63" s="237"/>
      <c r="AA63" s="259"/>
      <c r="AB63" s="259"/>
      <c r="AC63" s="259"/>
      <c r="AD63" s="259"/>
      <c r="AE63" s="259"/>
      <c r="AF63" s="259"/>
      <c r="AG63" s="259"/>
      <c r="AH63" s="259"/>
      <c r="AI63" s="259"/>
      <c r="AJ63" s="259"/>
      <c r="AK63" s="259"/>
      <c r="AL63" s="259"/>
      <c r="AM63" s="259"/>
      <c r="AN63" s="259"/>
      <c r="AO63" s="259"/>
      <c r="AP63" s="259"/>
      <c r="AQ63" s="259"/>
      <c r="AR63" s="231"/>
      <c r="AS63" s="231"/>
      <c r="AT63" s="231"/>
      <c r="AU63" s="231"/>
      <c r="AV63" s="231"/>
    </row>
    <row r="64" spans="1:48">
      <c r="A64" s="616">
        <v>40198</v>
      </c>
      <c r="B64" s="617" t="b">
        <f>MOD(MONTH(A64)+1,3)=0</f>
        <v>0</v>
      </c>
      <c r="C64" s="609">
        <f t="shared" si="4"/>
        <v>0</v>
      </c>
      <c r="D64" s="263">
        <f t="shared" si="4"/>
        <v>0</v>
      </c>
      <c r="E64" s="263">
        <f t="shared" si="4"/>
        <v>0</v>
      </c>
      <c r="F64" s="610">
        <f t="shared" si="4"/>
        <v>0</v>
      </c>
      <c r="G64" s="604">
        <f t="shared" si="3"/>
        <v>0</v>
      </c>
      <c r="H64" s="237"/>
      <c r="I64" s="237">
        <f t="shared" si="5"/>
        <v>40198</v>
      </c>
      <c r="J64" s="237" t="b">
        <f t="shared" si="6"/>
        <v>0</v>
      </c>
      <c r="K64" s="629"/>
      <c r="L64" s="630"/>
      <c r="M64" s="630"/>
      <c r="N64" s="630"/>
      <c r="O64" s="625">
        <f t="shared" si="7"/>
        <v>0</v>
      </c>
      <c r="P64" s="231"/>
      <c r="Q64" s="237">
        <f t="shared" si="8"/>
        <v>40198</v>
      </c>
      <c r="R64" s="237" t="b">
        <f t="shared" si="9"/>
        <v>0</v>
      </c>
      <c r="S64" s="208">
        <f>$S$60-SUM($K$60:K64)</f>
        <v>10285000000</v>
      </c>
      <c r="T64" s="208">
        <f>$T$60-SUM($L$60:L64)</f>
        <v>781200000</v>
      </c>
      <c r="U64" s="208">
        <f>$U$60-SUM($M$60:M64)</f>
        <v>439200000</v>
      </c>
      <c r="V64" s="208">
        <f>$V$60-SUM($N$60:N64)</f>
        <v>548450000</v>
      </c>
      <c r="W64" s="231"/>
      <c r="X64" s="231"/>
      <c r="Y64" s="231"/>
      <c r="Z64" s="237"/>
      <c r="AA64" s="259"/>
      <c r="AB64" s="259"/>
      <c r="AC64" s="259"/>
      <c r="AD64" s="259"/>
      <c r="AE64" s="259"/>
      <c r="AF64" s="259"/>
      <c r="AG64" s="259"/>
      <c r="AH64" s="259"/>
      <c r="AI64" s="259"/>
      <c r="AJ64" s="259"/>
      <c r="AK64" s="259"/>
      <c r="AL64" s="259"/>
      <c r="AM64" s="259"/>
      <c r="AN64" s="259"/>
      <c r="AO64" s="259"/>
      <c r="AP64" s="259"/>
      <c r="AQ64" s="259"/>
      <c r="AR64" s="231"/>
      <c r="AS64" s="231"/>
      <c r="AT64" s="231"/>
      <c r="AU64" s="231"/>
      <c r="AV64" s="231"/>
    </row>
    <row r="65" spans="1:48">
      <c r="A65" s="616">
        <v>40231</v>
      </c>
      <c r="B65" s="617" t="b">
        <f t="shared" si="2"/>
        <v>1</v>
      </c>
      <c r="C65" s="609">
        <f t="shared" si="4"/>
        <v>0</v>
      </c>
      <c r="D65" s="263">
        <f t="shared" si="4"/>
        <v>0</v>
      </c>
      <c r="E65" s="263">
        <f t="shared" si="4"/>
        <v>0</v>
      </c>
      <c r="F65" s="610">
        <f t="shared" si="4"/>
        <v>0</v>
      </c>
      <c r="G65" s="604">
        <f t="shared" si="3"/>
        <v>0</v>
      </c>
      <c r="H65" s="237"/>
      <c r="I65" s="237">
        <f t="shared" si="5"/>
        <v>40231</v>
      </c>
      <c r="J65" s="237" t="b">
        <f t="shared" si="6"/>
        <v>1</v>
      </c>
      <c r="K65" s="629"/>
      <c r="L65" s="630"/>
      <c r="M65" s="630"/>
      <c r="N65" s="630"/>
      <c r="O65" s="625">
        <f t="shared" si="7"/>
        <v>0</v>
      </c>
      <c r="P65" s="231"/>
      <c r="Q65" s="237">
        <f t="shared" si="8"/>
        <v>40231</v>
      </c>
      <c r="R65" s="237" t="b">
        <f t="shared" si="9"/>
        <v>1</v>
      </c>
      <c r="S65" s="208">
        <f>$S$60-SUM($K$60:K65)</f>
        <v>10285000000</v>
      </c>
      <c r="T65" s="208">
        <f>$T$60-SUM($L$60:L65)</f>
        <v>781200000</v>
      </c>
      <c r="U65" s="208">
        <f>$U$60-SUM($M$60:M65)</f>
        <v>439200000</v>
      </c>
      <c r="V65" s="208">
        <f>$V$60-SUM($N$60:N65)</f>
        <v>548450000</v>
      </c>
      <c r="W65" s="231"/>
      <c r="X65" s="231"/>
      <c r="Y65" s="231"/>
      <c r="Z65" s="237"/>
      <c r="AA65" s="259"/>
      <c r="AB65" s="259"/>
      <c r="AC65" s="259"/>
      <c r="AD65" s="259"/>
      <c r="AE65" s="259"/>
      <c r="AF65" s="259"/>
      <c r="AG65" s="259"/>
      <c r="AH65" s="259"/>
      <c r="AI65" s="259"/>
      <c r="AJ65" s="259"/>
      <c r="AK65" s="259"/>
      <c r="AL65" s="259"/>
      <c r="AM65" s="259"/>
      <c r="AN65" s="259"/>
      <c r="AO65" s="259"/>
      <c r="AP65" s="259"/>
      <c r="AQ65" s="259"/>
      <c r="AR65" s="231"/>
      <c r="AS65" s="231"/>
      <c r="AT65" s="231"/>
      <c r="AU65" s="231"/>
      <c r="AV65" s="231"/>
    </row>
    <row r="66" spans="1:48">
      <c r="A66" s="616">
        <v>40257</v>
      </c>
      <c r="B66" s="617" t="b">
        <f t="shared" si="2"/>
        <v>0</v>
      </c>
      <c r="C66" s="609">
        <f t="shared" si="4"/>
        <v>0</v>
      </c>
      <c r="D66" s="263">
        <f t="shared" si="4"/>
        <v>0</v>
      </c>
      <c r="E66" s="263">
        <f t="shared" si="4"/>
        <v>0</v>
      </c>
      <c r="F66" s="610">
        <f t="shared" si="4"/>
        <v>0</v>
      </c>
      <c r="G66" s="604">
        <f t="shared" si="3"/>
        <v>0</v>
      </c>
      <c r="H66" s="237"/>
      <c r="I66" s="237">
        <f t="shared" si="5"/>
        <v>40257</v>
      </c>
      <c r="J66" s="237" t="b">
        <f t="shared" si="6"/>
        <v>0</v>
      </c>
      <c r="K66" s="629"/>
      <c r="L66" s="630"/>
      <c r="M66" s="630"/>
      <c r="N66" s="630"/>
      <c r="O66" s="625">
        <f t="shared" si="7"/>
        <v>0</v>
      </c>
      <c r="P66" s="231"/>
      <c r="Q66" s="237">
        <f t="shared" si="8"/>
        <v>40257</v>
      </c>
      <c r="R66" s="237" t="b">
        <f t="shared" si="9"/>
        <v>0</v>
      </c>
      <c r="S66" s="208">
        <f>$S$60-SUM($K$60:K66)</f>
        <v>10285000000</v>
      </c>
      <c r="T66" s="208">
        <f>$T$60-SUM($L$60:L66)</f>
        <v>781200000</v>
      </c>
      <c r="U66" s="208">
        <f>$U$60-SUM($M$60:M66)</f>
        <v>439200000</v>
      </c>
      <c r="V66" s="208">
        <f>$V$60-SUM($N$60:N66)</f>
        <v>548450000</v>
      </c>
      <c r="W66" s="231"/>
      <c r="X66" s="231"/>
      <c r="Y66" s="231"/>
      <c r="Z66" s="237"/>
      <c r="AA66" s="259"/>
      <c r="AB66" s="259"/>
      <c r="AC66" s="259"/>
      <c r="AD66" s="259"/>
      <c r="AE66" s="259"/>
      <c r="AF66" s="259"/>
      <c r="AG66" s="259"/>
      <c r="AH66" s="259"/>
      <c r="AI66" s="259"/>
      <c r="AJ66" s="259"/>
      <c r="AK66" s="259"/>
      <c r="AL66" s="259"/>
      <c r="AM66" s="259"/>
      <c r="AN66" s="259"/>
      <c r="AO66" s="259"/>
      <c r="AP66" s="259"/>
      <c r="AQ66" s="259"/>
      <c r="AR66" s="231"/>
      <c r="AS66" s="231"/>
      <c r="AT66" s="231"/>
      <c r="AU66" s="231"/>
      <c r="AV66" s="231"/>
    </row>
    <row r="67" spans="1:48">
      <c r="A67" s="616">
        <v>40288</v>
      </c>
      <c r="B67" s="617" t="b">
        <f t="shared" si="2"/>
        <v>0</v>
      </c>
      <c r="C67" s="609">
        <f t="shared" si="4"/>
        <v>0</v>
      </c>
      <c r="D67" s="263">
        <f t="shared" si="4"/>
        <v>0</v>
      </c>
      <c r="E67" s="263">
        <f t="shared" si="4"/>
        <v>0</v>
      </c>
      <c r="F67" s="610">
        <f t="shared" si="4"/>
        <v>0</v>
      </c>
      <c r="G67" s="604">
        <f t="shared" si="3"/>
        <v>0</v>
      </c>
      <c r="H67" s="237"/>
      <c r="I67" s="237">
        <f t="shared" si="5"/>
        <v>40288</v>
      </c>
      <c r="J67" s="237" t="b">
        <f t="shared" si="6"/>
        <v>0</v>
      </c>
      <c r="K67" s="629"/>
      <c r="L67" s="630"/>
      <c r="M67" s="630"/>
      <c r="N67" s="630"/>
      <c r="O67" s="625">
        <f t="shared" si="7"/>
        <v>0</v>
      </c>
      <c r="P67" s="231"/>
      <c r="Q67" s="237">
        <f t="shared" si="8"/>
        <v>40288</v>
      </c>
      <c r="R67" s="237" t="b">
        <f t="shared" si="9"/>
        <v>0</v>
      </c>
      <c r="S67" s="208">
        <f>$S$60-SUM($K$60:K67)</f>
        <v>10285000000</v>
      </c>
      <c r="T67" s="208">
        <f>$T$60-SUM($L$60:L67)</f>
        <v>781200000</v>
      </c>
      <c r="U67" s="208">
        <f>$U$60-SUM($M$60:M67)</f>
        <v>439200000</v>
      </c>
      <c r="V67" s="208">
        <f>$V$60-SUM($N$60:N67)</f>
        <v>548450000</v>
      </c>
      <c r="W67" s="231"/>
      <c r="X67" s="231"/>
      <c r="Y67" s="231"/>
      <c r="Z67" s="237"/>
      <c r="AA67" s="259"/>
      <c r="AB67" s="259"/>
      <c r="AC67" s="259"/>
      <c r="AD67" s="259"/>
      <c r="AE67" s="259"/>
      <c r="AF67" s="259"/>
      <c r="AG67" s="259"/>
      <c r="AH67" s="259"/>
      <c r="AI67" s="259"/>
      <c r="AJ67" s="259"/>
      <c r="AK67" s="259"/>
      <c r="AL67" s="259"/>
      <c r="AM67" s="259"/>
      <c r="AN67" s="259"/>
      <c r="AO67" s="259"/>
      <c r="AP67" s="259"/>
      <c r="AQ67" s="259"/>
      <c r="AR67" s="231"/>
      <c r="AS67" s="231"/>
      <c r="AT67" s="231"/>
      <c r="AU67" s="231"/>
      <c r="AV67" s="231"/>
    </row>
    <row r="68" spans="1:48">
      <c r="A68" s="616">
        <v>40318</v>
      </c>
      <c r="B68" s="617" t="b">
        <f t="shared" si="2"/>
        <v>1</v>
      </c>
      <c r="C68" s="609">
        <f t="shared" si="4"/>
        <v>0</v>
      </c>
      <c r="D68" s="263">
        <f t="shared" si="4"/>
        <v>0</v>
      </c>
      <c r="E68" s="263">
        <f t="shared" si="4"/>
        <v>0</v>
      </c>
      <c r="F68" s="610">
        <f t="shared" si="4"/>
        <v>0</v>
      </c>
      <c r="G68" s="604">
        <f t="shared" si="3"/>
        <v>0</v>
      </c>
      <c r="H68" s="237"/>
      <c r="I68" s="237">
        <f t="shared" si="5"/>
        <v>40318</v>
      </c>
      <c r="J68" s="237" t="b">
        <f t="shared" si="6"/>
        <v>1</v>
      </c>
      <c r="K68" s="629"/>
      <c r="L68" s="630"/>
      <c r="M68" s="630"/>
      <c r="N68" s="630"/>
      <c r="O68" s="625">
        <f t="shared" si="7"/>
        <v>0</v>
      </c>
      <c r="P68" s="231"/>
      <c r="Q68" s="237">
        <f t="shared" si="8"/>
        <v>40318</v>
      </c>
      <c r="R68" s="237" t="b">
        <f t="shared" si="9"/>
        <v>1</v>
      </c>
      <c r="S68" s="208">
        <f>$S$60-SUM($K$60:K68)</f>
        <v>10285000000</v>
      </c>
      <c r="T68" s="208">
        <f>$T$60-SUM($L$60:L68)</f>
        <v>781200000</v>
      </c>
      <c r="U68" s="208">
        <f>$U$60-SUM($M$60:M68)</f>
        <v>439200000</v>
      </c>
      <c r="V68" s="208">
        <f>$V$60-SUM($N$60:N68)</f>
        <v>548450000</v>
      </c>
      <c r="W68" s="231"/>
      <c r="X68" s="231"/>
      <c r="Y68" s="231"/>
      <c r="Z68" s="237"/>
      <c r="AA68" s="259"/>
      <c r="AB68" s="259"/>
      <c r="AC68" s="259"/>
      <c r="AD68" s="259"/>
      <c r="AE68" s="259"/>
      <c r="AF68" s="259"/>
      <c r="AG68" s="259"/>
      <c r="AH68" s="259"/>
      <c r="AI68" s="259"/>
      <c r="AJ68" s="259"/>
      <c r="AK68" s="259"/>
      <c r="AL68" s="259"/>
      <c r="AM68" s="259"/>
      <c r="AN68" s="259"/>
      <c r="AO68" s="259"/>
      <c r="AP68" s="259"/>
      <c r="AQ68" s="259"/>
      <c r="AR68" s="231"/>
      <c r="AS68" s="231"/>
      <c r="AT68" s="231"/>
      <c r="AU68" s="231"/>
      <c r="AV68" s="231"/>
    </row>
    <row r="69" spans="1:48">
      <c r="A69" s="616">
        <v>40349</v>
      </c>
      <c r="B69" s="617" t="b">
        <f t="shared" si="2"/>
        <v>0</v>
      </c>
      <c r="C69" s="609">
        <f t="shared" si="4"/>
        <v>0</v>
      </c>
      <c r="D69" s="263">
        <f t="shared" si="4"/>
        <v>0</v>
      </c>
      <c r="E69" s="263">
        <f t="shared" si="4"/>
        <v>0</v>
      </c>
      <c r="F69" s="610">
        <f t="shared" si="4"/>
        <v>0</v>
      </c>
      <c r="G69" s="604">
        <f t="shared" si="3"/>
        <v>0</v>
      </c>
      <c r="H69" s="237"/>
      <c r="I69" s="237">
        <f t="shared" si="5"/>
        <v>40349</v>
      </c>
      <c r="J69" s="237" t="b">
        <f t="shared" si="6"/>
        <v>0</v>
      </c>
      <c r="K69" s="629"/>
      <c r="L69" s="630"/>
      <c r="M69" s="630"/>
      <c r="N69" s="630"/>
      <c r="O69" s="625">
        <f t="shared" si="7"/>
        <v>0</v>
      </c>
      <c r="P69" s="231"/>
      <c r="Q69" s="237">
        <f t="shared" si="8"/>
        <v>40349</v>
      </c>
      <c r="R69" s="237" t="b">
        <f t="shared" si="9"/>
        <v>0</v>
      </c>
      <c r="S69" s="208">
        <f>$S$60-SUM($K$60:K69)</f>
        <v>10285000000</v>
      </c>
      <c r="T69" s="208">
        <f>$T$60-SUM($L$60:L69)</f>
        <v>781200000</v>
      </c>
      <c r="U69" s="208">
        <f>$U$60-SUM($M$60:M69)</f>
        <v>439200000</v>
      </c>
      <c r="V69" s="208">
        <f>$V$60-SUM($N$60:N69)</f>
        <v>548450000</v>
      </c>
      <c r="W69" s="231"/>
      <c r="X69" s="231"/>
      <c r="Y69" s="231"/>
      <c r="Z69" s="237"/>
      <c r="AA69" s="259"/>
      <c r="AB69" s="259"/>
      <c r="AC69" s="259"/>
      <c r="AD69" s="259"/>
      <c r="AE69" s="259"/>
      <c r="AF69" s="259"/>
      <c r="AG69" s="259"/>
      <c r="AH69" s="259"/>
      <c r="AI69" s="259"/>
      <c r="AJ69" s="259"/>
      <c r="AK69" s="259"/>
      <c r="AL69" s="259"/>
      <c r="AM69" s="259"/>
      <c r="AN69" s="259"/>
      <c r="AO69" s="259"/>
      <c r="AP69" s="259"/>
      <c r="AQ69" s="259"/>
      <c r="AR69" s="231"/>
      <c r="AS69" s="231"/>
      <c r="AT69" s="231"/>
      <c r="AU69" s="231"/>
      <c r="AV69" s="231"/>
    </row>
    <row r="70" spans="1:48">
      <c r="A70" s="616">
        <v>40379</v>
      </c>
      <c r="B70" s="617" t="b">
        <f t="shared" si="2"/>
        <v>0</v>
      </c>
      <c r="C70" s="609">
        <f t="shared" si="4"/>
        <v>0</v>
      </c>
      <c r="D70" s="263">
        <f t="shared" si="4"/>
        <v>0</v>
      </c>
      <c r="E70" s="263">
        <f t="shared" si="4"/>
        <v>0</v>
      </c>
      <c r="F70" s="610">
        <f t="shared" si="4"/>
        <v>0</v>
      </c>
      <c r="G70" s="604">
        <f t="shared" si="3"/>
        <v>0</v>
      </c>
      <c r="H70" s="237"/>
      <c r="I70" s="237">
        <f t="shared" si="5"/>
        <v>40379</v>
      </c>
      <c r="J70" s="237" t="b">
        <f t="shared" si="6"/>
        <v>0</v>
      </c>
      <c r="K70" s="629"/>
      <c r="L70" s="630"/>
      <c r="M70" s="630"/>
      <c r="N70" s="630"/>
      <c r="O70" s="625">
        <f t="shared" si="7"/>
        <v>0</v>
      </c>
      <c r="P70" s="231"/>
      <c r="Q70" s="237">
        <f t="shared" si="8"/>
        <v>40379</v>
      </c>
      <c r="R70" s="237" t="b">
        <f t="shared" si="9"/>
        <v>0</v>
      </c>
      <c r="S70" s="208">
        <f>$S$60-SUM($K$60:K70)</f>
        <v>10285000000</v>
      </c>
      <c r="T70" s="208">
        <f>$T$60-SUM($L$60:L70)</f>
        <v>781200000</v>
      </c>
      <c r="U70" s="208">
        <f>$U$60-SUM($M$60:M70)</f>
        <v>439200000</v>
      </c>
      <c r="V70" s="208">
        <f>$V$60-SUM($N$60:N70)</f>
        <v>548450000</v>
      </c>
      <c r="W70" s="231"/>
      <c r="X70" s="231"/>
      <c r="Y70" s="231"/>
      <c r="Z70" s="237"/>
      <c r="AA70" s="259"/>
      <c r="AB70" s="259"/>
      <c r="AC70" s="259"/>
      <c r="AD70" s="259"/>
      <c r="AE70" s="259"/>
      <c r="AF70" s="259"/>
      <c r="AG70" s="259"/>
      <c r="AH70" s="259"/>
      <c r="AI70" s="259"/>
      <c r="AJ70" s="259"/>
      <c r="AK70" s="259"/>
      <c r="AL70" s="259"/>
      <c r="AM70" s="259"/>
      <c r="AN70" s="259"/>
      <c r="AO70" s="259"/>
      <c r="AP70" s="259"/>
      <c r="AQ70" s="259"/>
      <c r="AR70" s="231"/>
      <c r="AS70" s="231"/>
      <c r="AT70" s="231"/>
      <c r="AU70" s="231"/>
      <c r="AV70" s="231"/>
    </row>
    <row r="71" spans="1:48">
      <c r="A71" s="616">
        <v>40410</v>
      </c>
      <c r="B71" s="617" t="b">
        <f t="shared" si="2"/>
        <v>1</v>
      </c>
      <c r="C71" s="609">
        <f t="shared" si="4"/>
        <v>0</v>
      </c>
      <c r="D71" s="263">
        <f t="shared" si="4"/>
        <v>0</v>
      </c>
      <c r="E71" s="263">
        <f t="shared" si="4"/>
        <v>0</v>
      </c>
      <c r="F71" s="610">
        <f t="shared" si="4"/>
        <v>0</v>
      </c>
      <c r="G71" s="604">
        <f t="shared" si="3"/>
        <v>0</v>
      </c>
      <c r="H71" s="237"/>
      <c r="I71" s="237">
        <f t="shared" si="5"/>
        <v>40410</v>
      </c>
      <c r="J71" s="237" t="b">
        <f t="shared" si="6"/>
        <v>1</v>
      </c>
      <c r="K71" s="629"/>
      <c r="L71" s="630"/>
      <c r="M71" s="630"/>
      <c r="N71" s="630"/>
      <c r="O71" s="625">
        <f t="shared" si="7"/>
        <v>0</v>
      </c>
      <c r="P71" s="231"/>
      <c r="Q71" s="237">
        <f t="shared" si="8"/>
        <v>40410</v>
      </c>
      <c r="R71" s="237" t="b">
        <f t="shared" si="9"/>
        <v>1</v>
      </c>
      <c r="S71" s="208">
        <f>$S$60-SUM($K$60:K71)</f>
        <v>10285000000</v>
      </c>
      <c r="T71" s="208">
        <f>$T$60-SUM($L$60:L71)</f>
        <v>781200000</v>
      </c>
      <c r="U71" s="208">
        <f>$U$60-SUM($M$60:M71)</f>
        <v>439200000</v>
      </c>
      <c r="V71" s="208">
        <f>$V$60-SUM($N$60:N71)</f>
        <v>548450000</v>
      </c>
      <c r="W71" s="231"/>
      <c r="X71" s="231"/>
      <c r="Y71" s="231"/>
      <c r="Z71" s="237"/>
      <c r="AA71" s="259"/>
      <c r="AB71" s="259"/>
      <c r="AC71" s="259"/>
      <c r="AD71" s="259"/>
      <c r="AE71" s="259"/>
      <c r="AF71" s="259"/>
      <c r="AG71" s="259"/>
      <c r="AH71" s="259"/>
      <c r="AI71" s="259"/>
      <c r="AJ71" s="259"/>
      <c r="AK71" s="259"/>
      <c r="AL71" s="259"/>
      <c r="AM71" s="259"/>
      <c r="AN71" s="259"/>
      <c r="AO71" s="259"/>
      <c r="AP71" s="259"/>
      <c r="AQ71" s="259"/>
      <c r="AR71" s="231"/>
      <c r="AS71" s="231"/>
      <c r="AT71" s="231"/>
      <c r="AU71" s="231"/>
      <c r="AV71" s="231"/>
    </row>
    <row r="72" spans="1:48">
      <c r="A72" s="616">
        <v>40441</v>
      </c>
      <c r="B72" s="617" t="b">
        <f t="shared" si="2"/>
        <v>0</v>
      </c>
      <c r="C72" s="609">
        <f t="shared" si="4"/>
        <v>0</v>
      </c>
      <c r="D72" s="263">
        <f t="shared" si="4"/>
        <v>0</v>
      </c>
      <c r="E72" s="263">
        <f t="shared" si="4"/>
        <v>0</v>
      </c>
      <c r="F72" s="610">
        <f t="shared" si="4"/>
        <v>0</v>
      </c>
      <c r="G72" s="604">
        <f t="shared" si="3"/>
        <v>0</v>
      </c>
      <c r="H72" s="237"/>
      <c r="I72" s="237">
        <f t="shared" si="5"/>
        <v>40441</v>
      </c>
      <c r="J72" s="237" t="b">
        <f t="shared" si="6"/>
        <v>0</v>
      </c>
      <c r="K72" s="629"/>
      <c r="L72" s="630"/>
      <c r="M72" s="630"/>
      <c r="N72" s="630"/>
      <c r="O72" s="625">
        <f t="shared" si="7"/>
        <v>0</v>
      </c>
      <c r="P72" s="231"/>
      <c r="Q72" s="237">
        <f t="shared" si="8"/>
        <v>40441</v>
      </c>
      <c r="R72" s="237" t="b">
        <f t="shared" si="9"/>
        <v>0</v>
      </c>
      <c r="S72" s="208">
        <f>$S$60-SUM($K$60:K72)</f>
        <v>10285000000</v>
      </c>
      <c r="T72" s="208">
        <f>$T$60-SUM($L$60:L72)</f>
        <v>781200000</v>
      </c>
      <c r="U72" s="208">
        <f>$U$60-SUM($M$60:M72)</f>
        <v>439200000</v>
      </c>
      <c r="V72" s="208">
        <f>$V$60-SUM($N$60:N72)</f>
        <v>548450000</v>
      </c>
      <c r="W72" s="231"/>
      <c r="X72" s="231"/>
      <c r="Y72" s="231"/>
      <c r="Z72" s="237"/>
      <c r="AA72" s="259"/>
      <c r="AB72" s="259"/>
      <c r="AC72" s="259"/>
      <c r="AD72" s="259"/>
      <c r="AE72" s="259"/>
      <c r="AF72" s="259"/>
      <c r="AG72" s="259"/>
      <c r="AH72" s="259"/>
      <c r="AI72" s="259"/>
      <c r="AJ72" s="259"/>
      <c r="AK72" s="259"/>
      <c r="AL72" s="259"/>
      <c r="AM72" s="259"/>
      <c r="AN72" s="259"/>
      <c r="AO72" s="259"/>
      <c r="AP72" s="259"/>
      <c r="AQ72" s="259"/>
      <c r="AR72" s="231"/>
      <c r="AS72" s="231"/>
      <c r="AT72" s="231"/>
      <c r="AU72" s="231"/>
      <c r="AV72" s="231"/>
    </row>
    <row r="73" spans="1:48">
      <c r="A73" s="616">
        <v>40471</v>
      </c>
      <c r="B73" s="617" t="b">
        <f t="shared" si="2"/>
        <v>0</v>
      </c>
      <c r="C73" s="609">
        <f t="shared" si="4"/>
        <v>0</v>
      </c>
      <c r="D73" s="263">
        <f t="shared" si="4"/>
        <v>0</v>
      </c>
      <c r="E73" s="263">
        <f t="shared" si="4"/>
        <v>0</v>
      </c>
      <c r="F73" s="610">
        <f t="shared" si="4"/>
        <v>0</v>
      </c>
      <c r="G73" s="604">
        <f t="shared" si="3"/>
        <v>0</v>
      </c>
      <c r="H73" s="237"/>
      <c r="I73" s="237">
        <f t="shared" si="5"/>
        <v>40471</v>
      </c>
      <c r="J73" s="237" t="b">
        <f t="shared" si="6"/>
        <v>0</v>
      </c>
      <c r="K73" s="629"/>
      <c r="L73" s="630"/>
      <c r="M73" s="630"/>
      <c r="N73" s="630"/>
      <c r="O73" s="625">
        <f t="shared" si="7"/>
        <v>0</v>
      </c>
      <c r="P73" s="231"/>
      <c r="Q73" s="237">
        <f t="shared" si="8"/>
        <v>40471</v>
      </c>
      <c r="R73" s="237" t="b">
        <f t="shared" si="9"/>
        <v>0</v>
      </c>
      <c r="S73" s="208">
        <f>$S$60-SUM($K$60:K73)</f>
        <v>10285000000</v>
      </c>
      <c r="T73" s="208">
        <f>$T$60-SUM($L$60:L73)</f>
        <v>781200000</v>
      </c>
      <c r="U73" s="208">
        <f>$U$60-SUM($M$60:M73)</f>
        <v>439200000</v>
      </c>
      <c r="V73" s="208">
        <f>$V$60-SUM($N$60:N73)</f>
        <v>548450000</v>
      </c>
      <c r="W73" s="231"/>
      <c r="X73" s="231"/>
      <c r="Y73" s="231"/>
      <c r="Z73" s="237"/>
      <c r="AA73" s="259"/>
      <c r="AB73" s="259"/>
      <c r="AC73" s="259"/>
      <c r="AD73" s="259"/>
      <c r="AE73" s="259"/>
      <c r="AF73" s="259"/>
      <c r="AG73" s="259"/>
      <c r="AH73" s="259"/>
      <c r="AI73" s="259"/>
      <c r="AJ73" s="259"/>
      <c r="AK73" s="259"/>
      <c r="AL73" s="259"/>
      <c r="AM73" s="259"/>
      <c r="AN73" s="259"/>
      <c r="AO73" s="259"/>
      <c r="AP73" s="259"/>
      <c r="AQ73" s="259"/>
      <c r="AR73" s="231"/>
      <c r="AS73" s="231"/>
      <c r="AT73" s="231"/>
      <c r="AU73" s="231"/>
      <c r="AV73" s="231"/>
    </row>
    <row r="74" spans="1:48">
      <c r="A74" s="616">
        <v>40504</v>
      </c>
      <c r="B74" s="617" t="b">
        <f t="shared" si="2"/>
        <v>1</v>
      </c>
      <c r="C74" s="609">
        <f t="shared" si="4"/>
        <v>0</v>
      </c>
      <c r="D74" s="263">
        <f t="shared" si="4"/>
        <v>0</v>
      </c>
      <c r="E74" s="263">
        <f t="shared" si="4"/>
        <v>0</v>
      </c>
      <c r="F74" s="610">
        <f t="shared" si="4"/>
        <v>0</v>
      </c>
      <c r="G74" s="604">
        <f t="shared" si="3"/>
        <v>0</v>
      </c>
      <c r="H74" s="237"/>
      <c r="I74" s="237">
        <f t="shared" si="5"/>
        <v>40504</v>
      </c>
      <c r="J74" s="237" t="b">
        <f t="shared" si="6"/>
        <v>1</v>
      </c>
      <c r="K74" s="629">
        <v>10285000000</v>
      </c>
      <c r="L74" s="630">
        <v>781200000</v>
      </c>
      <c r="M74" s="630">
        <v>439200000</v>
      </c>
      <c r="N74" s="630">
        <v>548450000</v>
      </c>
      <c r="O74" s="625">
        <f t="shared" si="7"/>
        <v>12053850000</v>
      </c>
      <c r="P74" s="231"/>
      <c r="Q74" s="237">
        <f t="shared" si="8"/>
        <v>40504</v>
      </c>
      <c r="R74" s="237" t="b">
        <f t="shared" si="9"/>
        <v>1</v>
      </c>
      <c r="S74" s="208">
        <f>$S$60-SUM($K$60:K74)</f>
        <v>0</v>
      </c>
      <c r="T74" s="208">
        <f>$T$60-SUM($L$60:L74)</f>
        <v>0</v>
      </c>
      <c r="U74" s="208">
        <f>$U$60-SUM($M$60:M74)</f>
        <v>0</v>
      </c>
      <c r="V74" s="208">
        <f>$V$60-SUM($N$60:N74)</f>
        <v>0</v>
      </c>
      <c r="W74" s="231"/>
      <c r="X74" s="231"/>
      <c r="Y74" s="231"/>
      <c r="Z74" s="237"/>
      <c r="AA74" s="259"/>
      <c r="AB74" s="259"/>
      <c r="AC74" s="259"/>
      <c r="AD74" s="259"/>
      <c r="AE74" s="259"/>
      <c r="AF74" s="259"/>
      <c r="AG74" s="259"/>
      <c r="AH74" s="259"/>
      <c r="AI74" s="259"/>
      <c r="AJ74" s="259"/>
      <c r="AK74" s="259"/>
      <c r="AL74" s="259"/>
      <c r="AM74" s="259"/>
      <c r="AN74" s="259"/>
      <c r="AO74" s="259"/>
      <c r="AP74" s="259"/>
      <c r="AQ74" s="259"/>
      <c r="AR74" s="231"/>
      <c r="AS74" s="231"/>
      <c r="AT74" s="231"/>
      <c r="AU74" s="231"/>
      <c r="AV74" s="231"/>
    </row>
    <row r="75" spans="1:48">
      <c r="A75" s="616">
        <v>40532</v>
      </c>
      <c r="B75" s="617" t="b">
        <f t="shared" si="2"/>
        <v>0</v>
      </c>
      <c r="C75" s="609">
        <f t="shared" si="4"/>
        <v>0</v>
      </c>
      <c r="D75" s="263">
        <f t="shared" si="4"/>
        <v>0</v>
      </c>
      <c r="E75" s="263">
        <f t="shared" si="4"/>
        <v>0</v>
      </c>
      <c r="F75" s="610">
        <f t="shared" si="4"/>
        <v>0</v>
      </c>
      <c r="G75" s="604">
        <f t="shared" si="3"/>
        <v>0</v>
      </c>
      <c r="H75" s="237"/>
      <c r="I75" s="237">
        <f t="shared" si="5"/>
        <v>40532</v>
      </c>
      <c r="J75" s="237" t="b">
        <f t="shared" si="6"/>
        <v>0</v>
      </c>
      <c r="K75" s="629"/>
      <c r="L75" s="630"/>
      <c r="M75" s="630"/>
      <c r="N75" s="630"/>
      <c r="O75" s="625">
        <f t="shared" si="7"/>
        <v>0</v>
      </c>
      <c r="P75" s="231"/>
      <c r="Q75" s="237">
        <f t="shared" si="8"/>
        <v>40532</v>
      </c>
      <c r="R75" s="237" t="b">
        <f t="shared" si="9"/>
        <v>0</v>
      </c>
      <c r="S75" s="208">
        <f>$S$60-SUM($K$60:K75)</f>
        <v>0</v>
      </c>
      <c r="T75" s="208">
        <f>$T$60-SUM($L$60:L75)</f>
        <v>0</v>
      </c>
      <c r="U75" s="208">
        <f>$U$60-SUM($M$60:M75)</f>
        <v>0</v>
      </c>
      <c r="V75" s="208">
        <f>$V$60-SUM($N$60:N75)</f>
        <v>0</v>
      </c>
      <c r="W75" s="231"/>
      <c r="X75" s="231"/>
      <c r="Y75" s="231"/>
      <c r="Z75" s="237"/>
      <c r="AA75" s="259"/>
      <c r="AB75" s="259"/>
      <c r="AC75" s="259"/>
      <c r="AD75" s="259"/>
      <c r="AE75" s="259"/>
      <c r="AF75" s="259"/>
      <c r="AG75" s="259"/>
      <c r="AH75" s="259"/>
      <c r="AI75" s="259"/>
      <c r="AJ75" s="259"/>
      <c r="AK75" s="259"/>
      <c r="AL75" s="259"/>
      <c r="AM75" s="259"/>
      <c r="AN75" s="259"/>
      <c r="AO75" s="259"/>
      <c r="AP75" s="259"/>
      <c r="AQ75" s="259"/>
      <c r="AR75" s="231"/>
      <c r="AS75" s="231"/>
      <c r="AT75" s="231"/>
      <c r="AU75" s="231"/>
      <c r="AV75" s="231"/>
    </row>
    <row r="76" spans="1:48">
      <c r="A76" s="616">
        <v>40563</v>
      </c>
      <c r="B76" s="617" t="b">
        <f t="shared" si="2"/>
        <v>0</v>
      </c>
      <c r="C76" s="609">
        <f t="shared" si="4"/>
        <v>0</v>
      </c>
      <c r="D76" s="263">
        <f t="shared" si="4"/>
        <v>0</v>
      </c>
      <c r="E76" s="263">
        <f t="shared" si="4"/>
        <v>0</v>
      </c>
      <c r="F76" s="610">
        <f t="shared" si="4"/>
        <v>0</v>
      </c>
      <c r="G76" s="604">
        <f t="shared" si="3"/>
        <v>0</v>
      </c>
      <c r="H76" s="237"/>
      <c r="I76" s="237">
        <f t="shared" si="5"/>
        <v>40563</v>
      </c>
      <c r="J76" s="237" t="b">
        <f t="shared" si="6"/>
        <v>0</v>
      </c>
      <c r="K76" s="629"/>
      <c r="L76" s="630"/>
      <c r="M76" s="630"/>
      <c r="N76" s="630"/>
      <c r="O76" s="625">
        <f t="shared" si="7"/>
        <v>0</v>
      </c>
      <c r="P76" s="231"/>
      <c r="Q76" s="237">
        <f t="shared" si="8"/>
        <v>40563</v>
      </c>
      <c r="R76" s="237" t="b">
        <f t="shared" si="9"/>
        <v>0</v>
      </c>
      <c r="S76" s="208">
        <f>$S$60-SUM($K$60:K76)</f>
        <v>0</v>
      </c>
      <c r="T76" s="208">
        <f>$T$60-SUM($L$60:L76)</f>
        <v>0</v>
      </c>
      <c r="U76" s="208">
        <f>$U$60-SUM($M$60:M76)</f>
        <v>0</v>
      </c>
      <c r="V76" s="208">
        <f>$V$60-SUM($N$60:N76)</f>
        <v>0</v>
      </c>
      <c r="W76" s="231"/>
      <c r="X76" s="231"/>
      <c r="Y76" s="231"/>
      <c r="Z76" s="237"/>
      <c r="AA76" s="259"/>
      <c r="AB76" s="259"/>
      <c r="AC76" s="259"/>
      <c r="AD76" s="259"/>
      <c r="AE76" s="259"/>
      <c r="AF76" s="259"/>
      <c r="AG76" s="259"/>
      <c r="AH76" s="259"/>
      <c r="AI76" s="259"/>
      <c r="AJ76" s="259"/>
      <c r="AK76" s="259"/>
      <c r="AL76" s="259"/>
      <c r="AM76" s="259"/>
      <c r="AN76" s="259"/>
      <c r="AO76" s="259"/>
      <c r="AP76" s="259"/>
      <c r="AQ76" s="259"/>
      <c r="AR76" s="231"/>
      <c r="AS76" s="231"/>
      <c r="AT76" s="231"/>
      <c r="AU76" s="231"/>
      <c r="AV76" s="231"/>
    </row>
    <row r="77" spans="1:48">
      <c r="A77" s="616">
        <v>40594</v>
      </c>
      <c r="B77" s="617" t="b">
        <f t="shared" si="2"/>
        <v>1</v>
      </c>
      <c r="C77" s="609">
        <f t="shared" si="4"/>
        <v>0</v>
      </c>
      <c r="D77" s="263">
        <f t="shared" si="4"/>
        <v>0</v>
      </c>
      <c r="E77" s="263">
        <f t="shared" si="4"/>
        <v>0</v>
      </c>
      <c r="F77" s="610">
        <f t="shared" si="4"/>
        <v>0</v>
      </c>
      <c r="G77" s="604">
        <f t="shared" si="3"/>
        <v>0</v>
      </c>
      <c r="H77" s="237"/>
      <c r="I77" s="237">
        <f t="shared" si="5"/>
        <v>40594</v>
      </c>
      <c r="J77" s="237" t="b">
        <f t="shared" si="6"/>
        <v>1</v>
      </c>
      <c r="K77" s="629"/>
      <c r="L77" s="630"/>
      <c r="M77" s="630"/>
      <c r="N77" s="630"/>
      <c r="O77" s="625">
        <f t="shared" si="7"/>
        <v>0</v>
      </c>
      <c r="P77" s="231"/>
      <c r="Q77" s="237">
        <f t="shared" si="8"/>
        <v>40594</v>
      </c>
      <c r="R77" s="237" t="b">
        <f t="shared" si="9"/>
        <v>1</v>
      </c>
      <c r="S77" s="208">
        <f>$S$60-SUM($K$60:K77)</f>
        <v>0</v>
      </c>
      <c r="T77" s="208">
        <f>$T$60-SUM($L$60:L77)</f>
        <v>0</v>
      </c>
      <c r="U77" s="208">
        <f>$U$60-SUM($M$60:M77)</f>
        <v>0</v>
      </c>
      <c r="V77" s="208">
        <f>$V$60-SUM($N$60:N77)</f>
        <v>0</v>
      </c>
      <c r="W77" s="231"/>
      <c r="X77" s="231"/>
      <c r="Y77" s="231"/>
      <c r="Z77" s="237"/>
      <c r="AA77" s="259"/>
      <c r="AB77" s="259"/>
      <c r="AC77" s="259"/>
      <c r="AD77" s="259"/>
      <c r="AE77" s="259"/>
      <c r="AF77" s="259"/>
      <c r="AG77" s="259"/>
      <c r="AH77" s="259"/>
      <c r="AI77" s="259"/>
      <c r="AJ77" s="259"/>
      <c r="AK77" s="259"/>
      <c r="AL77" s="259"/>
      <c r="AM77" s="259"/>
      <c r="AN77" s="259"/>
      <c r="AO77" s="259"/>
      <c r="AP77" s="259"/>
      <c r="AQ77" s="259"/>
      <c r="AR77" s="231"/>
      <c r="AS77" s="231"/>
      <c r="AT77" s="231"/>
      <c r="AU77" s="231"/>
      <c r="AV77" s="231"/>
    </row>
    <row r="78" spans="1:48">
      <c r="A78" s="616">
        <v>40622</v>
      </c>
      <c r="B78" s="617" t="b">
        <f t="shared" si="2"/>
        <v>0</v>
      </c>
      <c r="C78" s="609">
        <f t="shared" si="4"/>
        <v>0</v>
      </c>
      <c r="D78" s="263">
        <f t="shared" si="4"/>
        <v>0</v>
      </c>
      <c r="E78" s="263">
        <f t="shared" si="4"/>
        <v>0</v>
      </c>
      <c r="F78" s="610">
        <f t="shared" si="4"/>
        <v>0</v>
      </c>
      <c r="G78" s="604">
        <f t="shared" si="3"/>
        <v>0</v>
      </c>
      <c r="H78" s="237"/>
      <c r="I78" s="237">
        <f t="shared" si="5"/>
        <v>40622</v>
      </c>
      <c r="J78" s="237" t="b">
        <f t="shared" si="6"/>
        <v>0</v>
      </c>
      <c r="K78" s="629"/>
      <c r="L78" s="630"/>
      <c r="M78" s="630"/>
      <c r="N78" s="630"/>
      <c r="O78" s="625">
        <f t="shared" si="7"/>
        <v>0</v>
      </c>
      <c r="P78" s="231"/>
      <c r="Q78" s="237">
        <f t="shared" si="8"/>
        <v>40622</v>
      </c>
      <c r="R78" s="237" t="b">
        <f t="shared" si="9"/>
        <v>0</v>
      </c>
      <c r="S78" s="208">
        <f>$S$60-SUM($K$60:K78)</f>
        <v>0</v>
      </c>
      <c r="T78" s="208">
        <f>$T$60-SUM($L$60:L78)</f>
        <v>0</v>
      </c>
      <c r="U78" s="208">
        <f>$U$60-SUM($M$60:M78)</f>
        <v>0</v>
      </c>
      <c r="V78" s="208">
        <f>$V$60-SUM($N$60:N78)</f>
        <v>0</v>
      </c>
      <c r="W78" s="231"/>
      <c r="X78" s="231"/>
      <c r="Y78" s="231"/>
      <c r="Z78" s="237"/>
      <c r="AA78" s="259"/>
      <c r="AB78" s="259"/>
      <c r="AC78" s="259"/>
      <c r="AD78" s="259"/>
      <c r="AE78" s="259"/>
      <c r="AF78" s="259"/>
      <c r="AG78" s="259"/>
      <c r="AH78" s="259"/>
      <c r="AI78" s="259"/>
      <c r="AJ78" s="259"/>
      <c r="AK78" s="259"/>
      <c r="AL78" s="259"/>
      <c r="AM78" s="259"/>
      <c r="AN78" s="259"/>
      <c r="AO78" s="259"/>
      <c r="AP78" s="259"/>
      <c r="AQ78" s="259"/>
      <c r="AR78" s="231"/>
      <c r="AS78" s="231"/>
      <c r="AT78" s="231"/>
      <c r="AU78" s="231"/>
      <c r="AV78" s="231"/>
    </row>
    <row r="79" spans="1:48">
      <c r="A79" s="616">
        <v>40653</v>
      </c>
      <c r="B79" s="617" t="b">
        <f t="shared" si="2"/>
        <v>0</v>
      </c>
      <c r="C79" s="609">
        <f t="shared" si="4"/>
        <v>0</v>
      </c>
      <c r="D79" s="263">
        <f t="shared" si="4"/>
        <v>0</v>
      </c>
      <c r="E79" s="263">
        <f t="shared" si="4"/>
        <v>0</v>
      </c>
      <c r="F79" s="610">
        <f t="shared" si="4"/>
        <v>0</v>
      </c>
      <c r="G79" s="604">
        <f t="shared" si="3"/>
        <v>0</v>
      </c>
      <c r="H79" s="237"/>
      <c r="I79" s="237">
        <f t="shared" si="5"/>
        <v>40653</v>
      </c>
      <c r="J79" s="237" t="b">
        <f t="shared" si="6"/>
        <v>0</v>
      </c>
      <c r="K79" s="629"/>
      <c r="L79" s="630"/>
      <c r="M79" s="630"/>
      <c r="N79" s="630"/>
      <c r="O79" s="625">
        <f t="shared" si="7"/>
        <v>0</v>
      </c>
      <c r="P79" s="231"/>
      <c r="Q79" s="237">
        <f t="shared" si="8"/>
        <v>40653</v>
      </c>
      <c r="R79" s="237" t="b">
        <f t="shared" si="9"/>
        <v>0</v>
      </c>
      <c r="S79" s="208">
        <f>$S$60-SUM($K$60:K79)</f>
        <v>0</v>
      </c>
      <c r="T79" s="208">
        <f>$T$60-SUM($L$60:L79)</f>
        <v>0</v>
      </c>
      <c r="U79" s="208">
        <f>$U$60-SUM($M$60:M79)</f>
        <v>0</v>
      </c>
      <c r="V79" s="208">
        <f>$V$60-SUM($N$60:N79)</f>
        <v>0</v>
      </c>
      <c r="W79" s="231"/>
      <c r="X79" s="231"/>
      <c r="Y79" s="231"/>
      <c r="Z79" s="237"/>
      <c r="AA79" s="259"/>
      <c r="AB79" s="259"/>
      <c r="AC79" s="259"/>
      <c r="AD79" s="259"/>
      <c r="AE79" s="259"/>
      <c r="AF79" s="259"/>
      <c r="AG79" s="259"/>
      <c r="AH79" s="259"/>
      <c r="AI79" s="259"/>
      <c r="AJ79" s="259"/>
      <c r="AK79" s="259"/>
      <c r="AL79" s="259"/>
      <c r="AM79" s="259"/>
      <c r="AN79" s="259"/>
      <c r="AO79" s="259"/>
      <c r="AP79" s="259"/>
      <c r="AQ79" s="259"/>
      <c r="AR79" s="231"/>
      <c r="AS79" s="231"/>
      <c r="AT79" s="231"/>
      <c r="AU79" s="231"/>
      <c r="AV79" s="231"/>
    </row>
    <row r="80" spans="1:48">
      <c r="A80" s="616">
        <v>40683</v>
      </c>
      <c r="B80" s="617" t="b">
        <f t="shared" si="2"/>
        <v>1</v>
      </c>
      <c r="C80" s="609">
        <f t="shared" si="4"/>
        <v>0</v>
      </c>
      <c r="D80" s="263">
        <f t="shared" si="4"/>
        <v>0</v>
      </c>
      <c r="E80" s="263">
        <f t="shared" si="4"/>
        <v>0</v>
      </c>
      <c r="F80" s="610">
        <f t="shared" si="4"/>
        <v>0</v>
      </c>
      <c r="G80" s="604">
        <f t="shared" si="3"/>
        <v>0</v>
      </c>
      <c r="H80" s="237"/>
      <c r="I80" s="237">
        <f t="shared" si="5"/>
        <v>40683</v>
      </c>
      <c r="J80" s="237" t="b">
        <f t="shared" si="6"/>
        <v>1</v>
      </c>
      <c r="K80" s="629"/>
      <c r="L80" s="630"/>
      <c r="M80" s="630"/>
      <c r="N80" s="630"/>
      <c r="O80" s="625">
        <f t="shared" si="7"/>
        <v>0</v>
      </c>
      <c r="P80" s="231"/>
      <c r="Q80" s="237">
        <f t="shared" si="8"/>
        <v>40683</v>
      </c>
      <c r="R80" s="237" t="b">
        <f t="shared" si="9"/>
        <v>1</v>
      </c>
      <c r="S80" s="208">
        <f>$S$60-SUM($K$60:K80)</f>
        <v>0</v>
      </c>
      <c r="T80" s="208">
        <f>$T$60-SUM($L$60:L80)</f>
        <v>0</v>
      </c>
      <c r="U80" s="208">
        <f>$U$60-SUM($M$60:M80)</f>
        <v>0</v>
      </c>
      <c r="V80" s="208">
        <f>$V$60-SUM($N$60:N80)</f>
        <v>0</v>
      </c>
      <c r="W80" s="231"/>
      <c r="X80" s="231"/>
      <c r="Y80" s="231"/>
      <c r="Z80" s="237"/>
      <c r="AA80" s="259"/>
      <c r="AB80" s="259"/>
      <c r="AC80" s="259"/>
      <c r="AD80" s="259"/>
      <c r="AE80" s="259"/>
      <c r="AF80" s="259"/>
      <c r="AG80" s="259"/>
      <c r="AH80" s="259"/>
      <c r="AI80" s="259"/>
      <c r="AJ80" s="259"/>
      <c r="AK80" s="259"/>
      <c r="AL80" s="259"/>
      <c r="AM80" s="259"/>
      <c r="AN80" s="259"/>
      <c r="AO80" s="259"/>
      <c r="AP80" s="259"/>
      <c r="AQ80" s="259"/>
      <c r="AR80" s="231"/>
      <c r="AS80" s="231"/>
      <c r="AT80" s="231"/>
      <c r="AU80" s="231"/>
      <c r="AV80" s="231"/>
    </row>
    <row r="81" spans="1:48">
      <c r="A81" s="616">
        <v>40714</v>
      </c>
      <c r="B81" s="617" t="b">
        <f t="shared" si="2"/>
        <v>0</v>
      </c>
      <c r="C81" s="609">
        <f t="shared" ref="C81:F100" si="10">ROUND((C23-C24),2)</f>
        <v>0</v>
      </c>
      <c r="D81" s="263">
        <f t="shared" si="10"/>
        <v>0</v>
      </c>
      <c r="E81" s="263">
        <f t="shared" si="10"/>
        <v>0</v>
      </c>
      <c r="F81" s="610">
        <f t="shared" si="10"/>
        <v>0</v>
      </c>
      <c r="G81" s="604">
        <f t="shared" si="3"/>
        <v>0</v>
      </c>
      <c r="H81" s="237"/>
      <c r="I81" s="237">
        <f t="shared" si="5"/>
        <v>40714</v>
      </c>
      <c r="J81" s="237" t="b">
        <f t="shared" si="6"/>
        <v>0</v>
      </c>
      <c r="K81" s="629"/>
      <c r="L81" s="630"/>
      <c r="M81" s="630"/>
      <c r="N81" s="630"/>
      <c r="O81" s="625">
        <f t="shared" si="7"/>
        <v>0</v>
      </c>
      <c r="P81" s="231"/>
      <c r="Q81" s="237">
        <f t="shared" si="8"/>
        <v>40714</v>
      </c>
      <c r="R81" s="237" t="b">
        <f t="shared" si="9"/>
        <v>0</v>
      </c>
      <c r="S81" s="208">
        <f>$S$60-SUM($K$60:K81)</f>
        <v>0</v>
      </c>
      <c r="T81" s="208">
        <f>$T$60-SUM($L$60:L81)</f>
        <v>0</v>
      </c>
      <c r="U81" s="208">
        <f>$U$60-SUM($M$60:M81)</f>
        <v>0</v>
      </c>
      <c r="V81" s="208">
        <f>$V$60-SUM($N$60:N81)</f>
        <v>0</v>
      </c>
      <c r="W81" s="231"/>
      <c r="X81" s="231"/>
      <c r="Y81" s="231"/>
      <c r="Z81" s="237"/>
      <c r="AA81" s="259"/>
      <c r="AB81" s="259"/>
      <c r="AC81" s="259"/>
      <c r="AD81" s="259"/>
      <c r="AE81" s="259"/>
      <c r="AF81" s="259"/>
      <c r="AG81" s="259"/>
      <c r="AH81" s="259"/>
      <c r="AI81" s="259"/>
      <c r="AJ81" s="259"/>
      <c r="AK81" s="259"/>
      <c r="AL81" s="259"/>
      <c r="AM81" s="259"/>
      <c r="AN81" s="259"/>
      <c r="AO81" s="259"/>
      <c r="AP81" s="259"/>
      <c r="AQ81" s="259"/>
      <c r="AR81" s="231"/>
      <c r="AS81" s="231"/>
      <c r="AT81" s="231"/>
      <c r="AU81" s="231"/>
      <c r="AV81" s="231"/>
    </row>
    <row r="82" spans="1:48">
      <c r="A82" s="616">
        <v>40744</v>
      </c>
      <c r="B82" s="617" t="b">
        <f t="shared" si="2"/>
        <v>0</v>
      </c>
      <c r="C82" s="609">
        <f t="shared" si="10"/>
        <v>0</v>
      </c>
      <c r="D82" s="263">
        <f t="shared" si="10"/>
        <v>0</v>
      </c>
      <c r="E82" s="263">
        <f t="shared" si="10"/>
        <v>0</v>
      </c>
      <c r="F82" s="610">
        <f t="shared" si="10"/>
        <v>0</v>
      </c>
      <c r="G82" s="604">
        <f t="shared" si="3"/>
        <v>0</v>
      </c>
      <c r="H82" s="237"/>
      <c r="I82" s="237">
        <f t="shared" si="5"/>
        <v>40744</v>
      </c>
      <c r="J82" s="237" t="b">
        <f t="shared" si="6"/>
        <v>0</v>
      </c>
      <c r="K82" s="629"/>
      <c r="L82" s="630"/>
      <c r="M82" s="630"/>
      <c r="N82" s="630"/>
      <c r="O82" s="625">
        <f t="shared" si="7"/>
        <v>0</v>
      </c>
      <c r="P82" s="231"/>
      <c r="Q82" s="237">
        <f t="shared" si="8"/>
        <v>40744</v>
      </c>
      <c r="R82" s="237" t="b">
        <f t="shared" si="9"/>
        <v>0</v>
      </c>
      <c r="S82" s="208">
        <f>$S$60-SUM($K$60:K82)</f>
        <v>0</v>
      </c>
      <c r="T82" s="208">
        <f>$T$60-SUM($L$60:L82)</f>
        <v>0</v>
      </c>
      <c r="U82" s="208">
        <f>$U$60-SUM($M$60:M82)</f>
        <v>0</v>
      </c>
      <c r="V82" s="208">
        <f>$V$60-SUM($N$60:N82)</f>
        <v>0</v>
      </c>
      <c r="W82" s="231"/>
      <c r="X82" s="231"/>
      <c r="Y82" s="231"/>
      <c r="Z82" s="237"/>
      <c r="AA82" s="259"/>
      <c r="AB82" s="259"/>
      <c r="AC82" s="259"/>
      <c r="AD82" s="259"/>
      <c r="AE82" s="259"/>
      <c r="AF82" s="259"/>
      <c r="AG82" s="259"/>
      <c r="AH82" s="259"/>
      <c r="AI82" s="259"/>
      <c r="AJ82" s="259"/>
      <c r="AK82" s="259"/>
      <c r="AL82" s="259"/>
      <c r="AM82" s="259"/>
      <c r="AN82" s="259"/>
      <c r="AO82" s="259"/>
      <c r="AP82" s="259"/>
      <c r="AQ82" s="259"/>
      <c r="AR82" s="231"/>
      <c r="AS82" s="231"/>
      <c r="AT82" s="231"/>
      <c r="AU82" s="231"/>
      <c r="AV82" s="231"/>
    </row>
    <row r="83" spans="1:48">
      <c r="A83" s="616">
        <v>40775</v>
      </c>
      <c r="B83" s="617" t="b">
        <f t="shared" si="2"/>
        <v>1</v>
      </c>
      <c r="C83" s="609">
        <f t="shared" si="10"/>
        <v>0</v>
      </c>
      <c r="D83" s="263">
        <f t="shared" si="10"/>
        <v>0</v>
      </c>
      <c r="E83" s="263">
        <f t="shared" si="10"/>
        <v>0</v>
      </c>
      <c r="F83" s="610">
        <f t="shared" si="10"/>
        <v>0</v>
      </c>
      <c r="G83" s="604">
        <f t="shared" si="3"/>
        <v>0</v>
      </c>
      <c r="H83" s="237"/>
      <c r="I83" s="237">
        <f t="shared" si="5"/>
        <v>40775</v>
      </c>
      <c r="J83" s="237" t="b">
        <f t="shared" si="6"/>
        <v>1</v>
      </c>
      <c r="K83" s="629"/>
      <c r="L83" s="630"/>
      <c r="M83" s="630"/>
      <c r="N83" s="630"/>
      <c r="O83" s="625">
        <f t="shared" si="7"/>
        <v>0</v>
      </c>
      <c r="P83" s="231"/>
      <c r="Q83" s="237">
        <f t="shared" si="8"/>
        <v>40775</v>
      </c>
      <c r="R83" s="237" t="b">
        <f t="shared" si="9"/>
        <v>1</v>
      </c>
      <c r="S83" s="208">
        <f>$S$60-SUM($K$60:K83)</f>
        <v>0</v>
      </c>
      <c r="T83" s="208">
        <f>$T$60-SUM($L$60:L83)</f>
        <v>0</v>
      </c>
      <c r="U83" s="208">
        <f>$U$60-SUM($M$60:M83)</f>
        <v>0</v>
      </c>
      <c r="V83" s="208">
        <f>$V$60-SUM($N$60:N83)</f>
        <v>0</v>
      </c>
      <c r="W83" s="231"/>
      <c r="X83" s="231"/>
      <c r="Y83" s="231"/>
      <c r="Z83" s="237"/>
      <c r="AA83" s="259"/>
      <c r="AB83" s="259"/>
      <c r="AC83" s="259"/>
      <c r="AD83" s="259"/>
      <c r="AE83" s="259"/>
      <c r="AF83" s="259"/>
      <c r="AG83" s="259"/>
      <c r="AH83" s="259"/>
      <c r="AI83" s="259"/>
      <c r="AJ83" s="259"/>
      <c r="AK83" s="259"/>
      <c r="AL83" s="259"/>
      <c r="AM83" s="259"/>
      <c r="AN83" s="259"/>
      <c r="AO83" s="259"/>
      <c r="AP83" s="259"/>
      <c r="AQ83" s="259"/>
      <c r="AR83" s="231"/>
      <c r="AS83" s="231"/>
      <c r="AT83" s="231"/>
      <c r="AU83" s="231"/>
      <c r="AV83" s="231"/>
    </row>
    <row r="84" spans="1:48">
      <c r="A84" s="616">
        <v>40806</v>
      </c>
      <c r="B84" s="617" t="b">
        <f t="shared" si="2"/>
        <v>0</v>
      </c>
      <c r="C84" s="609">
        <f t="shared" si="10"/>
        <v>0</v>
      </c>
      <c r="D84" s="263">
        <f t="shared" si="10"/>
        <v>0</v>
      </c>
      <c r="E84" s="263">
        <f t="shared" si="10"/>
        <v>0</v>
      </c>
      <c r="F84" s="610">
        <f t="shared" si="10"/>
        <v>0</v>
      </c>
      <c r="G84" s="604">
        <f t="shared" si="3"/>
        <v>0</v>
      </c>
      <c r="H84" s="237"/>
      <c r="I84" s="237">
        <f t="shared" si="5"/>
        <v>40806</v>
      </c>
      <c r="J84" s="237" t="b">
        <f t="shared" si="6"/>
        <v>0</v>
      </c>
      <c r="K84" s="629"/>
      <c r="L84" s="630"/>
      <c r="M84" s="630"/>
      <c r="N84" s="630"/>
      <c r="O84" s="625">
        <f t="shared" si="7"/>
        <v>0</v>
      </c>
      <c r="P84" s="231"/>
      <c r="Q84" s="237">
        <f t="shared" si="8"/>
        <v>40806</v>
      </c>
      <c r="R84" s="237" t="b">
        <f t="shared" si="9"/>
        <v>0</v>
      </c>
      <c r="S84" s="208">
        <f>$S$60-SUM($K$60:K84)</f>
        <v>0</v>
      </c>
      <c r="T84" s="208">
        <f>$T$60-SUM($L$60:L84)</f>
        <v>0</v>
      </c>
      <c r="U84" s="208">
        <f>$U$60-SUM($M$60:M84)</f>
        <v>0</v>
      </c>
      <c r="V84" s="208">
        <f>$V$60-SUM($N$60:N84)</f>
        <v>0</v>
      </c>
      <c r="W84" s="231"/>
      <c r="X84" s="231"/>
      <c r="Y84" s="231"/>
      <c r="Z84" s="237"/>
      <c r="AA84" s="259"/>
      <c r="AB84" s="259"/>
      <c r="AC84" s="259"/>
      <c r="AD84" s="259"/>
      <c r="AE84" s="259"/>
      <c r="AF84" s="259"/>
      <c r="AG84" s="259"/>
      <c r="AH84" s="259"/>
      <c r="AI84" s="259"/>
      <c r="AJ84" s="259"/>
      <c r="AK84" s="259"/>
      <c r="AL84" s="259"/>
      <c r="AM84" s="259"/>
      <c r="AN84" s="259"/>
      <c r="AO84" s="259"/>
      <c r="AP84" s="259"/>
      <c r="AQ84" s="259"/>
      <c r="AR84" s="231"/>
      <c r="AS84" s="231"/>
      <c r="AT84" s="231"/>
      <c r="AU84" s="231"/>
      <c r="AV84" s="231"/>
    </row>
    <row r="85" spans="1:48">
      <c r="A85" s="616">
        <v>40836</v>
      </c>
      <c r="B85" s="617" t="b">
        <f t="shared" si="2"/>
        <v>0</v>
      </c>
      <c r="C85" s="609">
        <f t="shared" si="10"/>
        <v>0</v>
      </c>
      <c r="D85" s="263">
        <f t="shared" si="10"/>
        <v>0</v>
      </c>
      <c r="E85" s="263">
        <f t="shared" si="10"/>
        <v>0</v>
      </c>
      <c r="F85" s="610">
        <f t="shared" si="10"/>
        <v>0</v>
      </c>
      <c r="G85" s="604">
        <f t="shared" si="3"/>
        <v>0</v>
      </c>
      <c r="H85" s="237"/>
      <c r="I85" s="237">
        <f t="shared" si="5"/>
        <v>40836</v>
      </c>
      <c r="J85" s="237" t="b">
        <f t="shared" si="6"/>
        <v>0</v>
      </c>
      <c r="K85" s="629"/>
      <c r="L85" s="630"/>
      <c r="M85" s="630"/>
      <c r="N85" s="630"/>
      <c r="O85" s="625">
        <f t="shared" si="7"/>
        <v>0</v>
      </c>
      <c r="P85" s="231"/>
      <c r="Q85" s="237">
        <f t="shared" si="8"/>
        <v>40836</v>
      </c>
      <c r="R85" s="237" t="b">
        <f t="shared" si="9"/>
        <v>0</v>
      </c>
      <c r="S85" s="208">
        <f>$S$60-SUM($K$60:K85)</f>
        <v>0</v>
      </c>
      <c r="T85" s="208">
        <f>$T$60-SUM($L$60:L85)</f>
        <v>0</v>
      </c>
      <c r="U85" s="208">
        <f>$U$60-SUM($M$60:M85)</f>
        <v>0</v>
      </c>
      <c r="V85" s="208">
        <f>$V$60-SUM($N$60:N85)</f>
        <v>0</v>
      </c>
      <c r="W85" s="231"/>
      <c r="X85" s="231"/>
      <c r="Y85" s="231"/>
      <c r="Z85" s="237"/>
      <c r="AA85" s="259"/>
      <c r="AB85" s="259"/>
      <c r="AC85" s="259"/>
      <c r="AD85" s="259"/>
      <c r="AE85" s="259"/>
      <c r="AF85" s="259"/>
      <c r="AG85" s="259"/>
      <c r="AH85" s="259"/>
      <c r="AI85" s="259"/>
      <c r="AJ85" s="259"/>
      <c r="AK85" s="259"/>
      <c r="AL85" s="259"/>
      <c r="AM85" s="259"/>
      <c r="AN85" s="259"/>
      <c r="AO85" s="259"/>
      <c r="AP85" s="259"/>
      <c r="AQ85" s="259"/>
      <c r="AR85" s="231"/>
      <c r="AS85" s="231"/>
      <c r="AT85" s="231"/>
      <c r="AU85" s="231"/>
      <c r="AV85" s="231"/>
    </row>
    <row r="86" spans="1:48">
      <c r="A86" s="616">
        <v>40867</v>
      </c>
      <c r="B86" s="617" t="b">
        <f t="shared" si="2"/>
        <v>1</v>
      </c>
      <c r="C86" s="609">
        <f t="shared" si="10"/>
        <v>0</v>
      </c>
      <c r="D86" s="263">
        <f t="shared" si="10"/>
        <v>0</v>
      </c>
      <c r="E86" s="263">
        <f t="shared" si="10"/>
        <v>0</v>
      </c>
      <c r="F86" s="610">
        <f t="shared" si="10"/>
        <v>0</v>
      </c>
      <c r="G86" s="604">
        <f t="shared" si="3"/>
        <v>0</v>
      </c>
      <c r="H86" s="237"/>
      <c r="I86" s="237">
        <f t="shared" si="5"/>
        <v>40867</v>
      </c>
      <c r="J86" s="237" t="b">
        <f t="shared" si="6"/>
        <v>1</v>
      </c>
      <c r="K86" s="629"/>
      <c r="L86" s="630"/>
      <c r="M86" s="630"/>
      <c r="N86" s="630"/>
      <c r="O86" s="625">
        <f t="shared" si="7"/>
        <v>0</v>
      </c>
      <c r="P86" s="231"/>
      <c r="Q86" s="237">
        <f t="shared" si="8"/>
        <v>40867</v>
      </c>
      <c r="R86" s="237" t="b">
        <f t="shared" si="9"/>
        <v>1</v>
      </c>
      <c r="S86" s="208">
        <f>$S$60-SUM($K$60:K86)</f>
        <v>0</v>
      </c>
      <c r="T86" s="208">
        <f>$T$60-SUM($L$60:L86)</f>
        <v>0</v>
      </c>
      <c r="U86" s="208">
        <f>$U$60-SUM($M$60:M86)</f>
        <v>0</v>
      </c>
      <c r="V86" s="208">
        <f>$V$60-SUM($N$60:N86)</f>
        <v>0</v>
      </c>
      <c r="W86" s="231"/>
      <c r="X86" s="231"/>
      <c r="Y86" s="231"/>
      <c r="Z86" s="237"/>
      <c r="AA86" s="259"/>
      <c r="AB86" s="259"/>
      <c r="AC86" s="259"/>
      <c r="AD86" s="259"/>
      <c r="AE86" s="259"/>
      <c r="AF86" s="259"/>
      <c r="AG86" s="259"/>
      <c r="AH86" s="259"/>
      <c r="AI86" s="259"/>
      <c r="AJ86" s="259"/>
      <c r="AK86" s="259"/>
      <c r="AL86" s="259"/>
      <c r="AM86" s="259"/>
      <c r="AN86" s="259"/>
      <c r="AO86" s="259"/>
      <c r="AP86" s="259"/>
      <c r="AQ86" s="259"/>
      <c r="AR86" s="231"/>
      <c r="AS86" s="231"/>
      <c r="AT86" s="231"/>
      <c r="AU86" s="231"/>
      <c r="AV86" s="231"/>
    </row>
    <row r="87" spans="1:48">
      <c r="A87" s="616">
        <v>40897</v>
      </c>
      <c r="B87" s="617" t="b">
        <f t="shared" si="2"/>
        <v>0</v>
      </c>
      <c r="C87" s="609">
        <f t="shared" si="10"/>
        <v>0</v>
      </c>
      <c r="D87" s="263">
        <f t="shared" si="10"/>
        <v>0</v>
      </c>
      <c r="E87" s="263">
        <f t="shared" si="10"/>
        <v>0</v>
      </c>
      <c r="F87" s="610">
        <f t="shared" si="10"/>
        <v>0</v>
      </c>
      <c r="G87" s="604">
        <f t="shared" si="3"/>
        <v>0</v>
      </c>
      <c r="H87" s="237"/>
      <c r="I87" s="237">
        <f t="shared" si="5"/>
        <v>40897</v>
      </c>
      <c r="J87" s="237" t="b">
        <f t="shared" si="6"/>
        <v>0</v>
      </c>
      <c r="K87" s="629"/>
      <c r="L87" s="630"/>
      <c r="M87" s="630"/>
      <c r="N87" s="630"/>
      <c r="O87" s="625">
        <f t="shared" si="7"/>
        <v>0</v>
      </c>
      <c r="P87" s="231"/>
      <c r="Q87" s="237">
        <f t="shared" si="8"/>
        <v>40897</v>
      </c>
      <c r="R87" s="237" t="b">
        <f t="shared" si="9"/>
        <v>0</v>
      </c>
      <c r="S87" s="208">
        <f>$S$60-SUM($K$60:K87)</f>
        <v>0</v>
      </c>
      <c r="T87" s="208">
        <f>$T$60-SUM($L$60:L87)</f>
        <v>0</v>
      </c>
      <c r="U87" s="208">
        <f>$U$60-SUM($M$60:M87)</f>
        <v>0</v>
      </c>
      <c r="V87" s="208">
        <f>$V$60-SUM($N$60:N87)</f>
        <v>0</v>
      </c>
      <c r="W87" s="231"/>
      <c r="X87" s="231"/>
      <c r="Y87" s="231"/>
      <c r="Z87" s="237"/>
      <c r="AA87" s="259"/>
      <c r="AB87" s="259"/>
      <c r="AC87" s="259"/>
      <c r="AD87" s="259"/>
      <c r="AE87" s="259"/>
      <c r="AF87" s="259"/>
      <c r="AG87" s="259"/>
      <c r="AH87" s="259"/>
      <c r="AI87" s="259"/>
      <c r="AJ87" s="259"/>
      <c r="AK87" s="259"/>
      <c r="AL87" s="259"/>
      <c r="AM87" s="259"/>
      <c r="AN87" s="259"/>
      <c r="AO87" s="259"/>
      <c r="AP87" s="259"/>
      <c r="AQ87" s="259"/>
      <c r="AR87" s="231"/>
      <c r="AS87" s="231"/>
      <c r="AT87" s="231"/>
      <c r="AU87" s="231"/>
      <c r="AV87" s="231"/>
    </row>
    <row r="88" spans="1:48">
      <c r="A88" s="616">
        <v>40928</v>
      </c>
      <c r="B88" s="617" t="b">
        <f t="shared" si="2"/>
        <v>0</v>
      </c>
      <c r="C88" s="609">
        <f t="shared" si="10"/>
        <v>0</v>
      </c>
      <c r="D88" s="263">
        <f t="shared" si="10"/>
        <v>0</v>
      </c>
      <c r="E88" s="263">
        <f t="shared" si="10"/>
        <v>0</v>
      </c>
      <c r="F88" s="610">
        <f t="shared" si="10"/>
        <v>0</v>
      </c>
      <c r="G88" s="604">
        <f t="shared" si="3"/>
        <v>0</v>
      </c>
      <c r="H88" s="237"/>
      <c r="I88" s="237">
        <f t="shared" si="5"/>
        <v>40928</v>
      </c>
      <c r="J88" s="237" t="b">
        <f t="shared" si="6"/>
        <v>0</v>
      </c>
      <c r="K88" s="629"/>
      <c r="L88" s="630"/>
      <c r="M88" s="630"/>
      <c r="N88" s="630"/>
      <c r="O88" s="625">
        <f t="shared" si="7"/>
        <v>0</v>
      </c>
      <c r="P88" s="231"/>
      <c r="Q88" s="237">
        <f t="shared" si="8"/>
        <v>40928</v>
      </c>
      <c r="R88" s="237" t="b">
        <f t="shared" si="9"/>
        <v>0</v>
      </c>
      <c r="S88" s="208">
        <f>$S$60-SUM($K$60:K88)</f>
        <v>0</v>
      </c>
      <c r="T88" s="208">
        <f>$T$60-SUM($L$60:L88)</f>
        <v>0</v>
      </c>
      <c r="U88" s="208">
        <f>$U$60-SUM($M$60:M88)</f>
        <v>0</v>
      </c>
      <c r="V88" s="208">
        <f>$V$60-SUM($N$60:N88)</f>
        <v>0</v>
      </c>
      <c r="W88" s="231"/>
      <c r="X88" s="231"/>
      <c r="Y88" s="231"/>
      <c r="Z88" s="237"/>
      <c r="AA88" s="259"/>
      <c r="AB88" s="259"/>
      <c r="AC88" s="259"/>
      <c r="AD88" s="259"/>
      <c r="AE88" s="259"/>
      <c r="AF88" s="259"/>
      <c r="AG88" s="259"/>
      <c r="AH88" s="259"/>
      <c r="AI88" s="259"/>
      <c r="AJ88" s="259"/>
      <c r="AK88" s="259"/>
      <c r="AL88" s="259"/>
      <c r="AM88" s="259"/>
      <c r="AN88" s="259"/>
      <c r="AO88" s="259"/>
      <c r="AP88" s="259"/>
      <c r="AQ88" s="259"/>
      <c r="AR88" s="231"/>
      <c r="AS88" s="231"/>
      <c r="AT88" s="231"/>
      <c r="AU88" s="231"/>
      <c r="AV88" s="231"/>
    </row>
    <row r="89" spans="1:48">
      <c r="A89" s="616">
        <v>40959</v>
      </c>
      <c r="B89" s="617" t="b">
        <f t="shared" si="2"/>
        <v>1</v>
      </c>
      <c r="C89" s="609">
        <f t="shared" si="10"/>
        <v>0</v>
      </c>
      <c r="D89" s="263">
        <f t="shared" si="10"/>
        <v>0</v>
      </c>
      <c r="E89" s="263">
        <f t="shared" si="10"/>
        <v>0</v>
      </c>
      <c r="F89" s="610">
        <f t="shared" si="10"/>
        <v>0</v>
      </c>
      <c r="G89" s="604">
        <f t="shared" si="3"/>
        <v>0</v>
      </c>
      <c r="H89" s="237"/>
      <c r="I89" s="237">
        <f t="shared" si="5"/>
        <v>40959</v>
      </c>
      <c r="J89" s="237" t="b">
        <f t="shared" si="6"/>
        <v>1</v>
      </c>
      <c r="K89" s="629"/>
      <c r="L89" s="630"/>
      <c r="M89" s="630"/>
      <c r="N89" s="630"/>
      <c r="O89" s="625">
        <f t="shared" si="7"/>
        <v>0</v>
      </c>
      <c r="P89" s="231"/>
      <c r="Q89" s="237">
        <f t="shared" si="8"/>
        <v>40959</v>
      </c>
      <c r="R89" s="237" t="b">
        <f t="shared" si="9"/>
        <v>1</v>
      </c>
      <c r="S89" s="208">
        <f>$S$60-SUM($K$60:K89)</f>
        <v>0</v>
      </c>
      <c r="T89" s="208">
        <f>$T$60-SUM($L$60:L89)</f>
        <v>0</v>
      </c>
      <c r="U89" s="208">
        <f>$U$60-SUM($M$60:M89)</f>
        <v>0</v>
      </c>
      <c r="V89" s="208">
        <f>$V$60-SUM($N$60:N89)</f>
        <v>0</v>
      </c>
      <c r="W89" s="231"/>
      <c r="X89" s="231"/>
      <c r="Y89" s="231"/>
      <c r="Z89" s="237"/>
      <c r="AA89" s="259"/>
      <c r="AB89" s="259"/>
      <c r="AC89" s="259"/>
      <c r="AD89" s="259"/>
      <c r="AE89" s="259"/>
      <c r="AF89" s="259"/>
      <c r="AG89" s="259"/>
      <c r="AH89" s="259"/>
      <c r="AI89" s="259"/>
      <c r="AJ89" s="259"/>
      <c r="AK89" s="259"/>
      <c r="AL89" s="259"/>
      <c r="AM89" s="259"/>
      <c r="AN89" s="259"/>
      <c r="AO89" s="259"/>
      <c r="AP89" s="259"/>
      <c r="AQ89" s="259"/>
      <c r="AR89" s="231"/>
      <c r="AS89" s="231"/>
      <c r="AT89" s="231"/>
      <c r="AU89" s="231"/>
      <c r="AV89" s="231"/>
    </row>
    <row r="90" spans="1:48">
      <c r="A90" s="616">
        <v>40988</v>
      </c>
      <c r="B90" s="617" t="b">
        <f t="shared" si="2"/>
        <v>0</v>
      </c>
      <c r="C90" s="609">
        <f t="shared" si="10"/>
        <v>0</v>
      </c>
      <c r="D90" s="263">
        <f t="shared" si="10"/>
        <v>0</v>
      </c>
      <c r="E90" s="263">
        <f t="shared" si="10"/>
        <v>0</v>
      </c>
      <c r="F90" s="610">
        <f t="shared" si="10"/>
        <v>0</v>
      </c>
      <c r="G90" s="604">
        <f t="shared" si="3"/>
        <v>0</v>
      </c>
      <c r="H90" s="237"/>
      <c r="I90" s="237">
        <f t="shared" si="5"/>
        <v>40988</v>
      </c>
      <c r="J90" s="237" t="b">
        <f t="shared" si="6"/>
        <v>0</v>
      </c>
      <c r="K90" s="629"/>
      <c r="L90" s="630"/>
      <c r="M90" s="630"/>
      <c r="N90" s="630"/>
      <c r="O90" s="625">
        <f t="shared" si="7"/>
        <v>0</v>
      </c>
      <c r="P90" s="231"/>
      <c r="Q90" s="237">
        <f t="shared" si="8"/>
        <v>40988</v>
      </c>
      <c r="R90" s="237" t="b">
        <f t="shared" si="9"/>
        <v>0</v>
      </c>
      <c r="S90" s="208">
        <f>$S$60-SUM($K$60:K90)</f>
        <v>0</v>
      </c>
      <c r="T90" s="208">
        <f>$T$60-SUM($L$60:L90)</f>
        <v>0</v>
      </c>
      <c r="U90" s="208">
        <f>$U$60-SUM($M$60:M90)</f>
        <v>0</v>
      </c>
      <c r="V90" s="208">
        <f>$V$60-SUM($N$60:N90)</f>
        <v>0</v>
      </c>
      <c r="W90" s="231"/>
      <c r="X90" s="231"/>
      <c r="Y90" s="231"/>
      <c r="Z90" s="237"/>
      <c r="AA90" s="259"/>
      <c r="AB90" s="259"/>
      <c r="AC90" s="259"/>
      <c r="AD90" s="259"/>
      <c r="AE90" s="259"/>
      <c r="AF90" s="259"/>
      <c r="AG90" s="259"/>
      <c r="AH90" s="259"/>
      <c r="AI90" s="259"/>
      <c r="AJ90" s="259"/>
      <c r="AK90" s="259"/>
      <c r="AL90" s="259"/>
      <c r="AM90" s="259"/>
      <c r="AN90" s="259"/>
      <c r="AO90" s="259"/>
      <c r="AP90" s="259"/>
      <c r="AQ90" s="259"/>
      <c r="AR90" s="231"/>
      <c r="AS90" s="231"/>
      <c r="AT90" s="231"/>
      <c r="AU90" s="231"/>
      <c r="AV90" s="231"/>
    </row>
    <row r="91" spans="1:48">
      <c r="A91" s="616">
        <v>41019</v>
      </c>
      <c r="B91" s="617" t="b">
        <f t="shared" si="2"/>
        <v>0</v>
      </c>
      <c r="C91" s="609">
        <f t="shared" si="10"/>
        <v>0</v>
      </c>
      <c r="D91" s="263">
        <f t="shared" si="10"/>
        <v>0</v>
      </c>
      <c r="E91" s="263">
        <f t="shared" si="10"/>
        <v>0</v>
      </c>
      <c r="F91" s="610">
        <f t="shared" si="10"/>
        <v>0</v>
      </c>
      <c r="G91" s="604">
        <f t="shared" si="3"/>
        <v>0</v>
      </c>
      <c r="H91" s="237"/>
      <c r="I91" s="237">
        <f t="shared" si="5"/>
        <v>41019</v>
      </c>
      <c r="J91" s="237" t="b">
        <f t="shared" si="6"/>
        <v>0</v>
      </c>
      <c r="K91" s="629"/>
      <c r="L91" s="630"/>
      <c r="M91" s="630"/>
      <c r="N91" s="630"/>
      <c r="O91" s="625">
        <f t="shared" si="7"/>
        <v>0</v>
      </c>
      <c r="P91" s="231"/>
      <c r="Q91" s="237">
        <f t="shared" si="8"/>
        <v>41019</v>
      </c>
      <c r="R91" s="237" t="b">
        <f t="shared" si="9"/>
        <v>0</v>
      </c>
      <c r="S91" s="208">
        <f>$S$60-SUM($K$60:K91)</f>
        <v>0</v>
      </c>
      <c r="T91" s="208">
        <f>$T$60-SUM($L$60:L91)</f>
        <v>0</v>
      </c>
      <c r="U91" s="208">
        <f>$U$60-SUM($M$60:M91)</f>
        <v>0</v>
      </c>
      <c r="V91" s="208">
        <f>$V$60-SUM($N$60:N91)</f>
        <v>0</v>
      </c>
      <c r="W91" s="231"/>
      <c r="X91" s="231"/>
      <c r="Y91" s="231"/>
      <c r="Z91" s="237"/>
      <c r="AA91" s="259"/>
      <c r="AB91" s="259"/>
      <c r="AC91" s="259"/>
      <c r="AD91" s="259"/>
      <c r="AE91" s="259"/>
      <c r="AF91" s="259"/>
      <c r="AG91" s="259"/>
      <c r="AH91" s="259"/>
      <c r="AI91" s="259"/>
      <c r="AJ91" s="259"/>
      <c r="AK91" s="259"/>
      <c r="AL91" s="259"/>
      <c r="AM91" s="259"/>
      <c r="AN91" s="259"/>
      <c r="AO91" s="259"/>
      <c r="AP91" s="259"/>
      <c r="AQ91" s="259"/>
      <c r="AR91" s="231"/>
      <c r="AS91" s="231"/>
      <c r="AT91" s="231"/>
      <c r="AU91" s="231"/>
      <c r="AV91" s="231"/>
    </row>
    <row r="92" spans="1:48">
      <c r="A92" s="616">
        <v>41049</v>
      </c>
      <c r="B92" s="617" t="b">
        <f t="shared" si="2"/>
        <v>1</v>
      </c>
      <c r="C92" s="609">
        <f t="shared" si="10"/>
        <v>0</v>
      </c>
      <c r="D92" s="263">
        <f t="shared" si="10"/>
        <v>0</v>
      </c>
      <c r="E92" s="263">
        <f t="shared" si="10"/>
        <v>0</v>
      </c>
      <c r="F92" s="610">
        <f t="shared" si="10"/>
        <v>0</v>
      </c>
      <c r="G92" s="604">
        <f t="shared" si="3"/>
        <v>0</v>
      </c>
      <c r="H92" s="237"/>
      <c r="I92" s="237">
        <f t="shared" si="5"/>
        <v>41049</v>
      </c>
      <c r="J92" s="237" t="b">
        <f t="shared" si="6"/>
        <v>1</v>
      </c>
      <c r="K92" s="629"/>
      <c r="L92" s="630"/>
      <c r="M92" s="630"/>
      <c r="N92" s="630"/>
      <c r="O92" s="625">
        <f t="shared" si="7"/>
        <v>0</v>
      </c>
      <c r="P92" s="231"/>
      <c r="Q92" s="237">
        <f t="shared" si="8"/>
        <v>41049</v>
      </c>
      <c r="R92" s="237" t="b">
        <f t="shared" si="9"/>
        <v>1</v>
      </c>
      <c r="S92" s="208">
        <f>$S$60-SUM($K$60:K92)</f>
        <v>0</v>
      </c>
      <c r="T92" s="208">
        <f>$T$60-SUM($L$60:L92)</f>
        <v>0</v>
      </c>
      <c r="U92" s="208">
        <f>$U$60-SUM($M$60:M92)</f>
        <v>0</v>
      </c>
      <c r="V92" s="208">
        <f>$V$60-SUM($N$60:N92)</f>
        <v>0</v>
      </c>
      <c r="W92" s="231"/>
      <c r="X92" s="231"/>
      <c r="Y92" s="231"/>
      <c r="Z92" s="237"/>
      <c r="AA92" s="259"/>
      <c r="AB92" s="259"/>
      <c r="AC92" s="259"/>
      <c r="AD92" s="259"/>
      <c r="AE92" s="259"/>
      <c r="AF92" s="259"/>
      <c r="AG92" s="259"/>
      <c r="AH92" s="259"/>
      <c r="AI92" s="259"/>
      <c r="AJ92" s="259"/>
      <c r="AK92" s="259"/>
      <c r="AL92" s="259"/>
      <c r="AM92" s="259"/>
      <c r="AN92" s="259"/>
      <c r="AO92" s="259"/>
      <c r="AP92" s="259"/>
      <c r="AQ92" s="259"/>
      <c r="AR92" s="231"/>
      <c r="AS92" s="231"/>
      <c r="AT92" s="231"/>
      <c r="AU92" s="231"/>
      <c r="AV92" s="231"/>
    </row>
    <row r="93" spans="1:48">
      <c r="A93" s="616">
        <v>41080</v>
      </c>
      <c r="B93" s="617" t="b">
        <f t="shared" si="2"/>
        <v>0</v>
      </c>
      <c r="C93" s="609">
        <f t="shared" si="10"/>
        <v>0</v>
      </c>
      <c r="D93" s="263">
        <f t="shared" si="10"/>
        <v>0</v>
      </c>
      <c r="E93" s="263">
        <f t="shared" si="10"/>
        <v>0</v>
      </c>
      <c r="F93" s="610">
        <f t="shared" si="10"/>
        <v>0</v>
      </c>
      <c r="G93" s="604">
        <f t="shared" si="3"/>
        <v>0</v>
      </c>
      <c r="H93" s="237"/>
      <c r="I93" s="237">
        <f t="shared" si="5"/>
        <v>41080</v>
      </c>
      <c r="J93" s="237" t="b">
        <f t="shared" si="6"/>
        <v>0</v>
      </c>
      <c r="K93" s="629"/>
      <c r="L93" s="630"/>
      <c r="M93" s="630"/>
      <c r="N93" s="630"/>
      <c r="O93" s="625">
        <f t="shared" si="7"/>
        <v>0</v>
      </c>
      <c r="P93" s="231"/>
      <c r="Q93" s="237">
        <f t="shared" si="8"/>
        <v>41080</v>
      </c>
      <c r="R93" s="237" t="b">
        <f t="shared" si="9"/>
        <v>0</v>
      </c>
      <c r="S93" s="208">
        <f>$S$60-SUM($K$60:K93)</f>
        <v>0</v>
      </c>
      <c r="T93" s="208">
        <f>$T$60-SUM($L$60:L93)</f>
        <v>0</v>
      </c>
      <c r="U93" s="208">
        <f>$U$60-SUM($M$60:M93)</f>
        <v>0</v>
      </c>
      <c r="V93" s="208">
        <f>$V$60-SUM($N$60:N93)</f>
        <v>0</v>
      </c>
      <c r="W93" s="231"/>
      <c r="X93" s="231"/>
      <c r="Y93" s="231"/>
      <c r="Z93" s="237"/>
      <c r="AA93" s="259"/>
      <c r="AB93" s="259"/>
      <c r="AC93" s="259"/>
      <c r="AD93" s="259"/>
      <c r="AE93" s="259"/>
      <c r="AF93" s="259"/>
      <c r="AG93" s="259"/>
      <c r="AH93" s="259"/>
      <c r="AI93" s="259"/>
      <c r="AJ93" s="259"/>
      <c r="AK93" s="259"/>
      <c r="AL93" s="259"/>
      <c r="AM93" s="259"/>
      <c r="AN93" s="259"/>
      <c r="AO93" s="259"/>
      <c r="AP93" s="259"/>
      <c r="AQ93" s="259"/>
      <c r="AR93" s="231"/>
      <c r="AS93" s="231"/>
      <c r="AT93" s="231"/>
      <c r="AU93" s="231"/>
      <c r="AV93" s="231"/>
    </row>
    <row r="94" spans="1:48">
      <c r="A94" s="616">
        <v>41110</v>
      </c>
      <c r="B94" s="617" t="b">
        <f t="shared" si="2"/>
        <v>0</v>
      </c>
      <c r="C94" s="609">
        <f t="shared" si="10"/>
        <v>0</v>
      </c>
      <c r="D94" s="263">
        <f t="shared" si="10"/>
        <v>0</v>
      </c>
      <c r="E94" s="263">
        <f t="shared" si="10"/>
        <v>0</v>
      </c>
      <c r="F94" s="610">
        <f t="shared" si="10"/>
        <v>0</v>
      </c>
      <c r="G94" s="604">
        <f t="shared" si="3"/>
        <v>0</v>
      </c>
      <c r="H94" s="237"/>
      <c r="I94" s="237">
        <f t="shared" si="5"/>
        <v>41110</v>
      </c>
      <c r="J94" s="237" t="b">
        <f t="shared" si="6"/>
        <v>0</v>
      </c>
      <c r="K94" s="629"/>
      <c r="L94" s="630"/>
      <c r="M94" s="630"/>
      <c r="N94" s="630"/>
      <c r="O94" s="625">
        <f t="shared" si="7"/>
        <v>0</v>
      </c>
      <c r="P94" s="231"/>
      <c r="Q94" s="237">
        <f t="shared" si="8"/>
        <v>41110</v>
      </c>
      <c r="R94" s="237" t="b">
        <f t="shared" si="9"/>
        <v>0</v>
      </c>
      <c r="S94" s="208">
        <f>$S$60-SUM($K$60:K94)</f>
        <v>0</v>
      </c>
      <c r="T94" s="208">
        <f>$T$60-SUM($L$60:L94)</f>
        <v>0</v>
      </c>
      <c r="U94" s="208">
        <f>$U$60-SUM($M$60:M94)</f>
        <v>0</v>
      </c>
      <c r="V94" s="208">
        <f>$V$60-SUM($N$60:N94)</f>
        <v>0</v>
      </c>
      <c r="W94" s="231"/>
      <c r="X94" s="231"/>
      <c r="Y94" s="231"/>
      <c r="Z94" s="237"/>
      <c r="AA94" s="259"/>
      <c r="AB94" s="259"/>
      <c r="AC94" s="259"/>
      <c r="AD94" s="259"/>
      <c r="AE94" s="259"/>
      <c r="AF94" s="259"/>
      <c r="AG94" s="259"/>
      <c r="AH94" s="259"/>
      <c r="AI94" s="259"/>
      <c r="AJ94" s="259"/>
      <c r="AK94" s="259"/>
      <c r="AL94" s="259"/>
      <c r="AM94" s="259"/>
      <c r="AN94" s="259"/>
      <c r="AO94" s="259"/>
      <c r="AP94" s="259"/>
      <c r="AQ94" s="259"/>
      <c r="AR94" s="231"/>
      <c r="AS94" s="231"/>
      <c r="AT94" s="231"/>
      <c r="AU94" s="231"/>
      <c r="AV94" s="231"/>
    </row>
    <row r="95" spans="1:48">
      <c r="A95" s="616">
        <v>41141</v>
      </c>
      <c r="B95" s="617" t="b">
        <f t="shared" si="2"/>
        <v>1</v>
      </c>
      <c r="C95" s="609">
        <f t="shared" si="10"/>
        <v>0</v>
      </c>
      <c r="D95" s="263">
        <f t="shared" si="10"/>
        <v>0</v>
      </c>
      <c r="E95" s="263">
        <f t="shared" si="10"/>
        <v>0</v>
      </c>
      <c r="F95" s="610">
        <f t="shared" si="10"/>
        <v>0</v>
      </c>
      <c r="G95" s="604">
        <f t="shared" si="3"/>
        <v>0</v>
      </c>
      <c r="H95" s="237"/>
      <c r="I95" s="237">
        <f t="shared" si="5"/>
        <v>41141</v>
      </c>
      <c r="J95" s="237" t="b">
        <f t="shared" si="6"/>
        <v>1</v>
      </c>
      <c r="K95" s="629"/>
      <c r="L95" s="630"/>
      <c r="M95" s="630"/>
      <c r="N95" s="630"/>
      <c r="O95" s="625">
        <f t="shared" si="7"/>
        <v>0</v>
      </c>
      <c r="P95" s="231"/>
      <c r="Q95" s="237">
        <f t="shared" si="8"/>
        <v>41141</v>
      </c>
      <c r="R95" s="237" t="b">
        <f t="shared" si="9"/>
        <v>1</v>
      </c>
      <c r="S95" s="208">
        <f>$S$60-SUM($K$60:K95)</f>
        <v>0</v>
      </c>
      <c r="T95" s="208">
        <f>$T$60-SUM($L$60:L95)</f>
        <v>0</v>
      </c>
      <c r="U95" s="208">
        <f>$U$60-SUM($M$60:M95)</f>
        <v>0</v>
      </c>
      <c r="V95" s="208">
        <f>$V$60-SUM($N$60:N95)</f>
        <v>0</v>
      </c>
      <c r="W95" s="231"/>
      <c r="X95" s="231"/>
      <c r="Y95" s="231"/>
      <c r="Z95" s="237"/>
      <c r="AA95" s="259"/>
      <c r="AB95" s="259"/>
      <c r="AC95" s="259"/>
      <c r="AD95" s="259"/>
      <c r="AE95" s="259"/>
      <c r="AF95" s="259"/>
      <c r="AG95" s="259"/>
      <c r="AH95" s="259"/>
      <c r="AI95" s="259"/>
      <c r="AJ95" s="259"/>
      <c r="AK95" s="259"/>
      <c r="AL95" s="259"/>
      <c r="AM95" s="259"/>
      <c r="AN95" s="259"/>
      <c r="AO95" s="259"/>
      <c r="AP95" s="259"/>
      <c r="AQ95" s="259"/>
      <c r="AR95" s="231"/>
      <c r="AS95" s="231"/>
      <c r="AT95" s="231"/>
      <c r="AU95" s="231"/>
      <c r="AV95" s="231"/>
    </row>
    <row r="96" spans="1:48">
      <c r="A96" s="616">
        <v>41172</v>
      </c>
      <c r="B96" s="617" t="b">
        <f t="shared" si="2"/>
        <v>0</v>
      </c>
      <c r="C96" s="609">
        <f t="shared" si="10"/>
        <v>0</v>
      </c>
      <c r="D96" s="263">
        <f t="shared" si="10"/>
        <v>0</v>
      </c>
      <c r="E96" s="263">
        <f t="shared" si="10"/>
        <v>0</v>
      </c>
      <c r="F96" s="610">
        <f t="shared" si="10"/>
        <v>0</v>
      </c>
      <c r="G96" s="604">
        <f t="shared" si="3"/>
        <v>0</v>
      </c>
      <c r="H96" s="237"/>
      <c r="I96" s="237">
        <f t="shared" si="5"/>
        <v>41172</v>
      </c>
      <c r="J96" s="237" t="b">
        <f t="shared" si="6"/>
        <v>0</v>
      </c>
      <c r="K96" s="629"/>
      <c r="L96" s="630"/>
      <c r="M96" s="630"/>
      <c r="N96" s="630"/>
      <c r="O96" s="625">
        <f t="shared" si="7"/>
        <v>0</v>
      </c>
      <c r="P96" s="231"/>
      <c r="Q96" s="237">
        <f t="shared" si="8"/>
        <v>41172</v>
      </c>
      <c r="R96" s="237" t="b">
        <f t="shared" si="9"/>
        <v>0</v>
      </c>
      <c r="S96" s="208">
        <f>$S$60-SUM($K$60:K96)</f>
        <v>0</v>
      </c>
      <c r="T96" s="208">
        <f>$T$60-SUM($L$60:L96)</f>
        <v>0</v>
      </c>
      <c r="U96" s="208">
        <f>$U$60-SUM($M$60:M96)</f>
        <v>0</v>
      </c>
      <c r="V96" s="208">
        <f>$V$60-SUM($N$60:N96)</f>
        <v>0</v>
      </c>
      <c r="W96" s="231"/>
      <c r="X96" s="231"/>
      <c r="Y96" s="231"/>
      <c r="Z96" s="237"/>
      <c r="AA96" s="259"/>
      <c r="AB96" s="259"/>
      <c r="AC96" s="259"/>
      <c r="AD96" s="259"/>
      <c r="AE96" s="259"/>
      <c r="AF96" s="259"/>
      <c r="AG96" s="259"/>
      <c r="AH96" s="259"/>
      <c r="AI96" s="259"/>
      <c r="AJ96" s="259"/>
      <c r="AK96" s="259"/>
      <c r="AL96" s="259"/>
      <c r="AM96" s="259"/>
      <c r="AN96" s="259"/>
      <c r="AO96" s="259"/>
      <c r="AP96" s="259"/>
      <c r="AQ96" s="259"/>
      <c r="AR96" s="231"/>
      <c r="AS96" s="231"/>
      <c r="AT96" s="231"/>
      <c r="AU96" s="231"/>
      <c r="AV96" s="231"/>
    </row>
    <row r="97" spans="1:48">
      <c r="A97" s="616">
        <v>41202</v>
      </c>
      <c r="B97" s="617" t="b">
        <f t="shared" si="2"/>
        <v>0</v>
      </c>
      <c r="C97" s="609">
        <f t="shared" si="10"/>
        <v>0</v>
      </c>
      <c r="D97" s="263">
        <f t="shared" si="10"/>
        <v>0</v>
      </c>
      <c r="E97" s="263">
        <f t="shared" si="10"/>
        <v>0</v>
      </c>
      <c r="F97" s="610">
        <f t="shared" si="10"/>
        <v>0</v>
      </c>
      <c r="G97" s="604">
        <f t="shared" ref="G97:G111" si="11">ROUND((G39-G40),2)</f>
        <v>0</v>
      </c>
      <c r="H97" s="237"/>
      <c r="I97" s="237">
        <f t="shared" si="5"/>
        <v>41202</v>
      </c>
      <c r="J97" s="237" t="b">
        <f t="shared" si="6"/>
        <v>0</v>
      </c>
      <c r="K97" s="629"/>
      <c r="L97" s="630"/>
      <c r="M97" s="630"/>
      <c r="N97" s="630"/>
      <c r="O97" s="625">
        <f t="shared" si="7"/>
        <v>0</v>
      </c>
      <c r="P97" s="231"/>
      <c r="Q97" s="237">
        <f t="shared" si="8"/>
        <v>41202</v>
      </c>
      <c r="R97" s="237" t="b">
        <f t="shared" si="9"/>
        <v>0</v>
      </c>
      <c r="S97" s="208">
        <f>$S$60-SUM($K$60:K97)</f>
        <v>0</v>
      </c>
      <c r="T97" s="208">
        <f>$T$60-SUM($L$60:L97)</f>
        <v>0</v>
      </c>
      <c r="U97" s="208">
        <f>$U$60-SUM($M$60:M97)</f>
        <v>0</v>
      </c>
      <c r="V97" s="208">
        <f>$V$60-SUM($N$60:N97)</f>
        <v>0</v>
      </c>
      <c r="W97" s="231"/>
      <c r="X97" s="231"/>
      <c r="Y97" s="231"/>
      <c r="Z97" s="237"/>
      <c r="AA97" s="259"/>
      <c r="AB97" s="259"/>
      <c r="AC97" s="259"/>
      <c r="AD97" s="259"/>
      <c r="AE97" s="259"/>
      <c r="AF97" s="259"/>
      <c r="AG97" s="259"/>
      <c r="AH97" s="259"/>
      <c r="AI97" s="259"/>
      <c r="AJ97" s="259"/>
      <c r="AK97" s="259"/>
      <c r="AL97" s="259"/>
      <c r="AM97" s="259"/>
      <c r="AN97" s="259"/>
      <c r="AO97" s="259"/>
      <c r="AP97" s="259"/>
      <c r="AQ97" s="259"/>
      <c r="AR97" s="231"/>
      <c r="AS97" s="231"/>
      <c r="AT97" s="231"/>
      <c r="AU97" s="231"/>
      <c r="AV97" s="231"/>
    </row>
    <row r="98" spans="1:48">
      <c r="A98" s="616">
        <v>41233</v>
      </c>
      <c r="B98" s="617" t="b">
        <f t="shared" si="2"/>
        <v>1</v>
      </c>
      <c r="C98" s="609">
        <f t="shared" si="10"/>
        <v>0</v>
      </c>
      <c r="D98" s="263">
        <f t="shared" si="10"/>
        <v>0</v>
      </c>
      <c r="E98" s="263">
        <f t="shared" si="10"/>
        <v>0</v>
      </c>
      <c r="F98" s="610">
        <f t="shared" si="10"/>
        <v>0</v>
      </c>
      <c r="G98" s="604">
        <f t="shared" si="11"/>
        <v>0</v>
      </c>
      <c r="H98" s="237"/>
      <c r="I98" s="237">
        <f t="shared" si="5"/>
        <v>41233</v>
      </c>
      <c r="J98" s="237" t="b">
        <f t="shared" si="6"/>
        <v>1</v>
      </c>
      <c r="K98" s="629"/>
      <c r="L98" s="630"/>
      <c r="M98" s="630"/>
      <c r="N98" s="630"/>
      <c r="O98" s="625">
        <f t="shared" si="7"/>
        <v>0</v>
      </c>
      <c r="P98" s="231"/>
      <c r="Q98" s="237">
        <f t="shared" si="8"/>
        <v>41233</v>
      </c>
      <c r="R98" s="237" t="b">
        <f t="shared" si="9"/>
        <v>1</v>
      </c>
      <c r="S98" s="208">
        <f>$S$60-SUM($K$60:K98)</f>
        <v>0</v>
      </c>
      <c r="T98" s="208">
        <f>$T$60-SUM($L$60:L98)</f>
        <v>0</v>
      </c>
      <c r="U98" s="208">
        <f>$U$60-SUM($M$60:M98)</f>
        <v>0</v>
      </c>
      <c r="V98" s="208">
        <f>$V$60-SUM($N$60:N98)</f>
        <v>0</v>
      </c>
      <c r="W98" s="231"/>
      <c r="X98" s="231"/>
      <c r="Y98" s="231"/>
      <c r="Z98" s="237"/>
      <c r="AA98" s="259"/>
      <c r="AB98" s="259"/>
      <c r="AC98" s="259"/>
      <c r="AD98" s="259"/>
      <c r="AE98" s="259"/>
      <c r="AF98" s="259"/>
      <c r="AG98" s="259"/>
      <c r="AH98" s="259"/>
      <c r="AI98" s="259"/>
      <c r="AJ98" s="259"/>
      <c r="AK98" s="259"/>
      <c r="AL98" s="259"/>
      <c r="AM98" s="259"/>
      <c r="AN98" s="259"/>
      <c r="AO98" s="259"/>
      <c r="AP98" s="259"/>
      <c r="AQ98" s="259"/>
      <c r="AR98" s="231"/>
      <c r="AS98" s="231"/>
      <c r="AT98" s="231"/>
      <c r="AU98" s="231"/>
      <c r="AV98" s="231"/>
    </row>
    <row r="99" spans="1:48">
      <c r="A99" s="616">
        <v>41263</v>
      </c>
      <c r="B99" s="617" t="b">
        <f t="shared" si="2"/>
        <v>0</v>
      </c>
      <c r="C99" s="609">
        <f t="shared" si="10"/>
        <v>0</v>
      </c>
      <c r="D99" s="263">
        <f t="shared" si="10"/>
        <v>0</v>
      </c>
      <c r="E99" s="263">
        <f t="shared" si="10"/>
        <v>0</v>
      </c>
      <c r="F99" s="610">
        <f t="shared" si="10"/>
        <v>0</v>
      </c>
      <c r="G99" s="604">
        <f t="shared" si="11"/>
        <v>0</v>
      </c>
      <c r="H99" s="237"/>
      <c r="I99" s="237">
        <f t="shared" si="5"/>
        <v>41263</v>
      </c>
      <c r="J99" s="237" t="b">
        <f t="shared" si="6"/>
        <v>0</v>
      </c>
      <c r="K99" s="629"/>
      <c r="L99" s="630"/>
      <c r="M99" s="630"/>
      <c r="N99" s="630"/>
      <c r="O99" s="625">
        <f t="shared" si="7"/>
        <v>0</v>
      </c>
      <c r="P99" s="231"/>
      <c r="Q99" s="237">
        <f t="shared" si="8"/>
        <v>41263</v>
      </c>
      <c r="R99" s="237" t="b">
        <f t="shared" si="9"/>
        <v>0</v>
      </c>
      <c r="S99" s="208">
        <f>$S$60-SUM($K$60:K99)</f>
        <v>0</v>
      </c>
      <c r="T99" s="208">
        <f>$T$60-SUM($L$60:L99)</f>
        <v>0</v>
      </c>
      <c r="U99" s="208">
        <f>$U$60-SUM($M$60:M99)</f>
        <v>0</v>
      </c>
      <c r="V99" s="208">
        <f>$V$60-SUM($N$60:N99)</f>
        <v>0</v>
      </c>
      <c r="W99" s="231"/>
      <c r="X99" s="231"/>
      <c r="Y99" s="231"/>
      <c r="Z99" s="237"/>
      <c r="AA99" s="259"/>
      <c r="AB99" s="259"/>
      <c r="AC99" s="259"/>
      <c r="AD99" s="259"/>
      <c r="AE99" s="259"/>
      <c r="AF99" s="259"/>
      <c r="AG99" s="259"/>
      <c r="AH99" s="259"/>
      <c r="AI99" s="259"/>
      <c r="AJ99" s="259"/>
      <c r="AK99" s="259"/>
      <c r="AL99" s="259"/>
      <c r="AM99" s="259"/>
      <c r="AN99" s="259"/>
      <c r="AO99" s="259"/>
      <c r="AP99" s="259"/>
      <c r="AQ99" s="259"/>
      <c r="AR99" s="231"/>
      <c r="AS99" s="231"/>
      <c r="AT99" s="231"/>
      <c r="AU99" s="231"/>
      <c r="AV99" s="231"/>
    </row>
    <row r="100" spans="1:48">
      <c r="A100" s="616">
        <v>41294</v>
      </c>
      <c r="B100" s="617" t="b">
        <f t="shared" si="2"/>
        <v>0</v>
      </c>
      <c r="C100" s="609">
        <f t="shared" si="10"/>
        <v>0</v>
      </c>
      <c r="D100" s="263">
        <f t="shared" si="10"/>
        <v>0</v>
      </c>
      <c r="E100" s="263">
        <f t="shared" si="10"/>
        <v>0</v>
      </c>
      <c r="F100" s="610">
        <f t="shared" si="10"/>
        <v>0</v>
      </c>
      <c r="G100" s="604">
        <f t="shared" si="11"/>
        <v>0</v>
      </c>
      <c r="H100" s="75"/>
      <c r="I100" s="237">
        <f t="shared" si="5"/>
        <v>41294</v>
      </c>
      <c r="J100" s="237" t="b">
        <f t="shared" si="6"/>
        <v>0</v>
      </c>
      <c r="K100" s="629"/>
      <c r="L100" s="630"/>
      <c r="M100" s="630"/>
      <c r="N100" s="630"/>
      <c r="O100" s="625">
        <f t="shared" si="7"/>
        <v>0</v>
      </c>
      <c r="P100" s="231"/>
      <c r="Q100" s="237">
        <f t="shared" si="8"/>
        <v>41294</v>
      </c>
      <c r="R100" s="237" t="b">
        <f t="shared" si="9"/>
        <v>0</v>
      </c>
      <c r="S100" s="208">
        <f>$S$60-SUM($K$60:K100)</f>
        <v>0</v>
      </c>
      <c r="T100" s="208">
        <f>$T$60-SUM($L$60:L100)</f>
        <v>0</v>
      </c>
      <c r="U100" s="208">
        <f>$U$60-SUM($M$60:M100)</f>
        <v>0</v>
      </c>
      <c r="V100" s="208">
        <f>$V$60-SUM($N$60:N100)</f>
        <v>0</v>
      </c>
      <c r="W100" s="231"/>
      <c r="X100" s="231"/>
      <c r="Y100" s="231"/>
      <c r="Z100" s="75"/>
      <c r="AA100" s="259"/>
      <c r="AB100" s="259"/>
      <c r="AC100" s="259"/>
      <c r="AD100" s="259"/>
      <c r="AE100" s="259"/>
      <c r="AF100" s="259"/>
      <c r="AG100" s="259"/>
      <c r="AH100" s="259"/>
      <c r="AI100" s="259"/>
      <c r="AJ100" s="259"/>
      <c r="AK100" s="259"/>
      <c r="AL100" s="259"/>
      <c r="AM100" s="259"/>
      <c r="AN100" s="259"/>
      <c r="AO100" s="259"/>
      <c r="AP100" s="259"/>
      <c r="AQ100" s="259"/>
    </row>
    <row r="101" spans="1:48">
      <c r="A101" s="616">
        <v>41325</v>
      </c>
      <c r="B101" s="617" t="b">
        <f t="shared" si="2"/>
        <v>1</v>
      </c>
      <c r="C101" s="609">
        <f t="shared" ref="C101:F111" si="12">ROUND((C43-C44),2)</f>
        <v>0</v>
      </c>
      <c r="D101" s="263">
        <f t="shared" si="12"/>
        <v>0</v>
      </c>
      <c r="E101" s="263">
        <f t="shared" si="12"/>
        <v>0</v>
      </c>
      <c r="F101" s="610">
        <f t="shared" si="12"/>
        <v>0</v>
      </c>
      <c r="G101" s="604">
        <f t="shared" si="11"/>
        <v>0</v>
      </c>
      <c r="H101" s="75"/>
      <c r="I101" s="237">
        <f t="shared" si="5"/>
        <v>41325</v>
      </c>
      <c r="J101" s="237" t="b">
        <f t="shared" si="6"/>
        <v>1</v>
      </c>
      <c r="K101" s="629"/>
      <c r="L101" s="630"/>
      <c r="M101" s="630"/>
      <c r="N101" s="630"/>
      <c r="O101" s="625">
        <f t="shared" si="7"/>
        <v>0</v>
      </c>
      <c r="P101" s="231"/>
      <c r="Q101" s="237">
        <f t="shared" si="8"/>
        <v>41325</v>
      </c>
      <c r="R101" s="237" t="b">
        <f t="shared" si="9"/>
        <v>1</v>
      </c>
      <c r="S101" s="208">
        <f>$S$60-SUM($K$60:K101)</f>
        <v>0</v>
      </c>
      <c r="T101" s="208">
        <f>$T$60-SUM($L$60:L101)</f>
        <v>0</v>
      </c>
      <c r="U101" s="208">
        <f>$U$60-SUM($M$60:M101)</f>
        <v>0</v>
      </c>
      <c r="V101" s="208">
        <f>$V$60-SUM($N$60:N101)</f>
        <v>0</v>
      </c>
      <c r="W101" s="231"/>
      <c r="X101" s="231"/>
      <c r="Y101" s="231"/>
      <c r="Z101" s="75"/>
      <c r="AA101" s="259"/>
      <c r="AB101" s="259"/>
      <c r="AC101" s="259"/>
      <c r="AD101" s="259"/>
      <c r="AE101" s="259"/>
      <c r="AF101" s="259"/>
      <c r="AG101" s="259"/>
      <c r="AH101" s="259"/>
      <c r="AI101" s="259"/>
      <c r="AJ101" s="259"/>
      <c r="AK101" s="259"/>
      <c r="AL101" s="259"/>
      <c r="AM101" s="259"/>
      <c r="AN101" s="259"/>
      <c r="AO101" s="259"/>
      <c r="AP101" s="259"/>
      <c r="AQ101" s="259"/>
    </row>
    <row r="102" spans="1:48">
      <c r="A102" s="616">
        <v>41353</v>
      </c>
      <c r="B102" s="617" t="b">
        <f t="shared" ref="B102:B110" si="13">MOD(MONTH(A102)+1,3)=0</f>
        <v>0</v>
      </c>
      <c r="C102" s="609">
        <f t="shared" si="12"/>
        <v>0</v>
      </c>
      <c r="D102" s="263">
        <f t="shared" si="12"/>
        <v>0</v>
      </c>
      <c r="E102" s="263">
        <f t="shared" si="12"/>
        <v>0</v>
      </c>
      <c r="F102" s="610">
        <f t="shared" si="12"/>
        <v>0</v>
      </c>
      <c r="G102" s="604">
        <f t="shared" si="11"/>
        <v>0</v>
      </c>
      <c r="H102" s="75"/>
      <c r="I102" s="237">
        <f t="shared" si="5"/>
        <v>41353</v>
      </c>
      <c r="J102" s="237" t="b">
        <f t="shared" si="6"/>
        <v>0</v>
      </c>
      <c r="K102" s="629"/>
      <c r="L102" s="630"/>
      <c r="M102" s="630"/>
      <c r="N102" s="630"/>
      <c r="O102" s="625">
        <f t="shared" si="7"/>
        <v>0</v>
      </c>
      <c r="P102" s="231"/>
      <c r="Q102" s="237">
        <f t="shared" si="8"/>
        <v>41353</v>
      </c>
      <c r="R102" s="237" t="b">
        <f t="shared" si="9"/>
        <v>0</v>
      </c>
      <c r="S102" s="208">
        <f>$S$60-SUM($K$60:K102)</f>
        <v>0</v>
      </c>
      <c r="T102" s="208">
        <f>$T$60-SUM($L$60:L102)</f>
        <v>0</v>
      </c>
      <c r="U102" s="208">
        <f>$U$60-SUM($M$60:M102)</f>
        <v>0</v>
      </c>
      <c r="V102" s="208">
        <f>$V$60-SUM($N$60:N102)</f>
        <v>0</v>
      </c>
      <c r="W102" s="231"/>
      <c r="X102" s="231"/>
      <c r="Y102" s="231"/>
      <c r="Z102" s="75"/>
      <c r="AA102" s="259"/>
      <c r="AB102" s="259"/>
      <c r="AC102" s="259"/>
      <c r="AD102" s="259"/>
      <c r="AE102" s="259"/>
      <c r="AF102" s="259"/>
      <c r="AG102" s="259"/>
      <c r="AH102" s="259"/>
      <c r="AI102" s="259"/>
      <c r="AJ102" s="259"/>
      <c r="AK102" s="259"/>
      <c r="AL102" s="259"/>
      <c r="AM102" s="259"/>
      <c r="AN102" s="259"/>
      <c r="AO102" s="259"/>
      <c r="AP102" s="259"/>
      <c r="AQ102" s="259"/>
    </row>
    <row r="103" spans="1:48">
      <c r="A103" s="616">
        <v>41384</v>
      </c>
      <c r="B103" s="617" t="b">
        <f t="shared" si="13"/>
        <v>0</v>
      </c>
      <c r="C103" s="609">
        <f t="shared" si="12"/>
        <v>0</v>
      </c>
      <c r="D103" s="263">
        <f t="shared" si="12"/>
        <v>0</v>
      </c>
      <c r="E103" s="263">
        <f t="shared" si="12"/>
        <v>0</v>
      </c>
      <c r="F103" s="610">
        <f t="shared" si="12"/>
        <v>0</v>
      </c>
      <c r="G103" s="604">
        <f t="shared" si="11"/>
        <v>0</v>
      </c>
      <c r="H103" s="75"/>
      <c r="I103" s="237">
        <f t="shared" si="5"/>
        <v>41384</v>
      </c>
      <c r="J103" s="237" t="b">
        <f t="shared" si="6"/>
        <v>0</v>
      </c>
      <c r="K103" s="629"/>
      <c r="L103" s="630"/>
      <c r="M103" s="630"/>
      <c r="N103" s="630"/>
      <c r="O103" s="625">
        <f t="shared" si="7"/>
        <v>0</v>
      </c>
      <c r="P103" s="231"/>
      <c r="Q103" s="237">
        <f t="shared" si="8"/>
        <v>41384</v>
      </c>
      <c r="R103" s="237" t="b">
        <f t="shared" si="9"/>
        <v>0</v>
      </c>
      <c r="S103" s="208">
        <f>$S$60-SUM($K$60:K103)</f>
        <v>0</v>
      </c>
      <c r="T103" s="208">
        <f>$T$60-SUM($L$60:L103)</f>
        <v>0</v>
      </c>
      <c r="U103" s="208">
        <f>$U$60-SUM($M$60:M103)</f>
        <v>0</v>
      </c>
      <c r="V103" s="208">
        <f>$V$60-SUM($N$60:N103)</f>
        <v>0</v>
      </c>
      <c r="W103" s="231"/>
      <c r="X103" s="231"/>
      <c r="Y103" s="231"/>
      <c r="Z103" s="75"/>
      <c r="AA103" s="259"/>
      <c r="AB103" s="259"/>
      <c r="AC103" s="259"/>
      <c r="AD103" s="259"/>
      <c r="AE103" s="259"/>
      <c r="AF103" s="259"/>
      <c r="AG103" s="259"/>
      <c r="AH103" s="259"/>
      <c r="AI103" s="259"/>
      <c r="AJ103" s="259"/>
      <c r="AK103" s="259"/>
      <c r="AL103" s="259"/>
      <c r="AM103" s="259"/>
      <c r="AN103" s="259"/>
      <c r="AO103" s="259"/>
      <c r="AP103" s="259"/>
      <c r="AQ103" s="259"/>
    </row>
    <row r="104" spans="1:48">
      <c r="A104" s="616">
        <v>41414</v>
      </c>
      <c r="B104" s="617" t="b">
        <f t="shared" si="13"/>
        <v>1</v>
      </c>
      <c r="C104" s="609">
        <f t="shared" si="12"/>
        <v>0</v>
      </c>
      <c r="D104" s="263">
        <f t="shared" si="12"/>
        <v>0</v>
      </c>
      <c r="E104" s="263">
        <f t="shared" si="12"/>
        <v>0</v>
      </c>
      <c r="F104" s="610">
        <f t="shared" si="12"/>
        <v>0</v>
      </c>
      <c r="G104" s="604">
        <f t="shared" si="11"/>
        <v>0</v>
      </c>
      <c r="H104" s="75"/>
      <c r="I104" s="237">
        <f t="shared" si="5"/>
        <v>41414</v>
      </c>
      <c r="J104" s="237" t="b">
        <f t="shared" si="6"/>
        <v>1</v>
      </c>
      <c r="K104" s="629"/>
      <c r="L104" s="630"/>
      <c r="M104" s="630"/>
      <c r="N104" s="630"/>
      <c r="O104" s="625">
        <f t="shared" si="7"/>
        <v>0</v>
      </c>
      <c r="P104" s="231"/>
      <c r="Q104" s="237">
        <f t="shared" si="8"/>
        <v>41414</v>
      </c>
      <c r="R104" s="237" t="b">
        <f t="shared" si="9"/>
        <v>1</v>
      </c>
      <c r="S104" s="208">
        <f>$S$60-SUM($K$60:K104)</f>
        <v>0</v>
      </c>
      <c r="T104" s="208">
        <f>$T$60-SUM($L$60:L104)</f>
        <v>0</v>
      </c>
      <c r="U104" s="208">
        <f>$U$60-SUM($M$60:M104)</f>
        <v>0</v>
      </c>
      <c r="V104" s="208">
        <f>$V$60-SUM($N$60:N104)</f>
        <v>0</v>
      </c>
      <c r="W104" s="231"/>
      <c r="X104" s="231"/>
      <c r="Y104" s="231"/>
      <c r="Z104" s="75"/>
      <c r="AA104" s="259"/>
      <c r="AB104" s="259"/>
      <c r="AC104" s="259"/>
      <c r="AD104" s="259"/>
      <c r="AE104" s="259"/>
      <c r="AF104" s="259"/>
      <c r="AG104" s="259"/>
      <c r="AH104" s="259"/>
      <c r="AI104" s="259"/>
      <c r="AJ104" s="259"/>
      <c r="AK104" s="259"/>
      <c r="AL104" s="259"/>
      <c r="AM104" s="259"/>
      <c r="AN104" s="259"/>
      <c r="AO104" s="259"/>
      <c r="AP104" s="259"/>
      <c r="AQ104" s="259"/>
    </row>
    <row r="105" spans="1:48">
      <c r="A105" s="616">
        <v>41445</v>
      </c>
      <c r="B105" s="617" t="b">
        <f t="shared" si="13"/>
        <v>0</v>
      </c>
      <c r="C105" s="609">
        <f t="shared" si="12"/>
        <v>0</v>
      </c>
      <c r="D105" s="263">
        <f t="shared" si="12"/>
        <v>0</v>
      </c>
      <c r="E105" s="263">
        <f t="shared" si="12"/>
        <v>0</v>
      </c>
      <c r="F105" s="610">
        <f t="shared" si="12"/>
        <v>0</v>
      </c>
      <c r="G105" s="604">
        <f t="shared" si="11"/>
        <v>0</v>
      </c>
      <c r="H105" s="75"/>
      <c r="I105" s="237">
        <f t="shared" si="5"/>
        <v>41445</v>
      </c>
      <c r="J105" s="237" t="b">
        <f t="shared" si="6"/>
        <v>0</v>
      </c>
      <c r="K105" s="629"/>
      <c r="L105" s="630"/>
      <c r="M105" s="630"/>
      <c r="N105" s="630"/>
      <c r="O105" s="625">
        <f t="shared" si="7"/>
        <v>0</v>
      </c>
      <c r="P105" s="231"/>
      <c r="Q105" s="237">
        <f t="shared" si="8"/>
        <v>41445</v>
      </c>
      <c r="R105" s="237" t="b">
        <f t="shared" si="9"/>
        <v>0</v>
      </c>
      <c r="S105" s="208">
        <f>$S$60-SUM($K$60:K105)</f>
        <v>0</v>
      </c>
      <c r="T105" s="208">
        <f>$T$60-SUM($L$60:L105)</f>
        <v>0</v>
      </c>
      <c r="U105" s="208">
        <f>$U$60-SUM($M$60:M105)</f>
        <v>0</v>
      </c>
      <c r="V105" s="208">
        <f>$V$60-SUM($N$60:N105)</f>
        <v>0</v>
      </c>
      <c r="W105" s="231"/>
      <c r="X105" s="231"/>
      <c r="Y105" s="231"/>
      <c r="Z105" s="75"/>
      <c r="AA105" s="259"/>
      <c r="AB105" s="259"/>
      <c r="AC105" s="259"/>
      <c r="AD105" s="259"/>
      <c r="AE105" s="259"/>
      <c r="AF105" s="259"/>
      <c r="AG105" s="259"/>
      <c r="AH105" s="259"/>
      <c r="AI105" s="259"/>
      <c r="AJ105" s="259"/>
      <c r="AK105" s="259"/>
      <c r="AL105" s="259"/>
      <c r="AM105" s="259"/>
      <c r="AN105" s="259"/>
      <c r="AO105" s="259"/>
      <c r="AP105" s="259"/>
      <c r="AQ105" s="259"/>
    </row>
    <row r="106" spans="1:48">
      <c r="A106" s="616">
        <v>41475</v>
      </c>
      <c r="B106" s="617" t="b">
        <f t="shared" si="13"/>
        <v>0</v>
      </c>
      <c r="C106" s="609">
        <f t="shared" si="12"/>
        <v>0</v>
      </c>
      <c r="D106" s="263">
        <f t="shared" si="12"/>
        <v>0</v>
      </c>
      <c r="E106" s="263">
        <f t="shared" si="12"/>
        <v>0</v>
      </c>
      <c r="F106" s="610">
        <f t="shared" si="12"/>
        <v>0</v>
      </c>
      <c r="G106" s="604">
        <f t="shared" si="11"/>
        <v>0</v>
      </c>
      <c r="H106" s="75"/>
      <c r="I106" s="237">
        <f t="shared" si="5"/>
        <v>41475</v>
      </c>
      <c r="J106" s="237" t="b">
        <f t="shared" si="6"/>
        <v>0</v>
      </c>
      <c r="K106" s="629"/>
      <c r="L106" s="630"/>
      <c r="M106" s="630"/>
      <c r="N106" s="630"/>
      <c r="O106" s="625">
        <f t="shared" si="7"/>
        <v>0</v>
      </c>
      <c r="P106" s="231"/>
      <c r="Q106" s="237">
        <f t="shared" si="8"/>
        <v>41475</v>
      </c>
      <c r="R106" s="237" t="b">
        <f t="shared" si="9"/>
        <v>0</v>
      </c>
      <c r="S106" s="208">
        <f>$S$60-SUM($K$60:K106)</f>
        <v>0</v>
      </c>
      <c r="T106" s="208">
        <f>$T$60-SUM($L$60:L106)</f>
        <v>0</v>
      </c>
      <c r="U106" s="208">
        <f>$U$60-SUM($M$60:M106)</f>
        <v>0</v>
      </c>
      <c r="V106" s="208">
        <f>$V$60-SUM($N$60:N106)</f>
        <v>0</v>
      </c>
      <c r="W106" s="231"/>
      <c r="X106" s="231"/>
      <c r="Y106" s="231"/>
      <c r="Z106" s="75"/>
      <c r="AA106" s="259"/>
      <c r="AB106" s="259"/>
      <c r="AC106" s="259"/>
      <c r="AD106" s="259"/>
      <c r="AE106" s="259"/>
      <c r="AF106" s="259"/>
      <c r="AG106" s="259"/>
      <c r="AH106" s="259"/>
      <c r="AI106" s="259"/>
      <c r="AJ106" s="259"/>
      <c r="AK106" s="259"/>
      <c r="AL106" s="259"/>
      <c r="AM106" s="259"/>
      <c r="AN106" s="259"/>
      <c r="AO106" s="259"/>
      <c r="AP106" s="259"/>
      <c r="AQ106" s="259"/>
    </row>
    <row r="107" spans="1:48">
      <c r="A107" s="616">
        <v>41506</v>
      </c>
      <c r="B107" s="617" t="b">
        <f t="shared" si="13"/>
        <v>1</v>
      </c>
      <c r="C107" s="609">
        <f t="shared" si="12"/>
        <v>0</v>
      </c>
      <c r="D107" s="263">
        <f t="shared" si="12"/>
        <v>0</v>
      </c>
      <c r="E107" s="263">
        <f t="shared" si="12"/>
        <v>0</v>
      </c>
      <c r="F107" s="610">
        <f t="shared" si="12"/>
        <v>0</v>
      </c>
      <c r="G107" s="604">
        <f t="shared" si="11"/>
        <v>0</v>
      </c>
      <c r="H107" s="75"/>
      <c r="I107" s="237">
        <f t="shared" si="5"/>
        <v>41506</v>
      </c>
      <c r="J107" s="237" t="b">
        <f t="shared" si="6"/>
        <v>1</v>
      </c>
      <c r="K107" s="629"/>
      <c r="L107" s="630"/>
      <c r="M107" s="630"/>
      <c r="N107" s="630"/>
      <c r="O107" s="625">
        <f t="shared" si="7"/>
        <v>0</v>
      </c>
      <c r="P107" s="231"/>
      <c r="Q107" s="237">
        <f t="shared" si="8"/>
        <v>41506</v>
      </c>
      <c r="R107" s="237" t="b">
        <f t="shared" si="9"/>
        <v>1</v>
      </c>
      <c r="S107" s="208">
        <f>$S$60-SUM($K$60:K107)</f>
        <v>0</v>
      </c>
      <c r="T107" s="208">
        <f>$T$60-SUM($L$60:L107)</f>
        <v>0</v>
      </c>
      <c r="U107" s="208">
        <f>$U$60-SUM($M$60:M107)</f>
        <v>0</v>
      </c>
      <c r="V107" s="208">
        <f>$V$60-SUM($N$60:N107)</f>
        <v>0</v>
      </c>
      <c r="W107" s="231"/>
      <c r="X107" s="231"/>
      <c r="Y107" s="231"/>
      <c r="Z107" s="75"/>
      <c r="AA107" s="259"/>
      <c r="AB107" s="259"/>
      <c r="AC107" s="259"/>
      <c r="AD107" s="259"/>
      <c r="AE107" s="259"/>
      <c r="AF107" s="259"/>
      <c r="AG107" s="259"/>
      <c r="AH107" s="259"/>
      <c r="AI107" s="259"/>
      <c r="AJ107" s="259"/>
      <c r="AK107" s="259"/>
      <c r="AL107" s="259"/>
      <c r="AM107" s="259"/>
      <c r="AN107" s="259"/>
      <c r="AO107" s="259"/>
      <c r="AP107" s="259"/>
      <c r="AQ107" s="259"/>
    </row>
    <row r="108" spans="1:48">
      <c r="A108" s="616">
        <v>41537</v>
      </c>
      <c r="B108" s="617" t="b">
        <f t="shared" si="13"/>
        <v>0</v>
      </c>
      <c r="C108" s="609">
        <f t="shared" si="12"/>
        <v>0</v>
      </c>
      <c r="D108" s="263">
        <f t="shared" si="12"/>
        <v>0</v>
      </c>
      <c r="E108" s="263">
        <f t="shared" si="12"/>
        <v>0</v>
      </c>
      <c r="F108" s="610">
        <f t="shared" si="12"/>
        <v>0</v>
      </c>
      <c r="G108" s="604">
        <f t="shared" si="11"/>
        <v>0</v>
      </c>
      <c r="H108" s="75"/>
      <c r="I108" s="237">
        <f t="shared" si="5"/>
        <v>41537</v>
      </c>
      <c r="J108" s="237" t="b">
        <f t="shared" si="6"/>
        <v>0</v>
      </c>
      <c r="K108" s="629"/>
      <c r="L108" s="630"/>
      <c r="M108" s="630"/>
      <c r="N108" s="630"/>
      <c r="O108" s="625">
        <f t="shared" si="7"/>
        <v>0</v>
      </c>
      <c r="P108" s="231"/>
      <c r="Q108" s="237">
        <f t="shared" si="8"/>
        <v>41537</v>
      </c>
      <c r="R108" s="237" t="b">
        <f t="shared" si="9"/>
        <v>0</v>
      </c>
      <c r="S108" s="208">
        <f>$S$60-SUM($K$60:K108)</f>
        <v>0</v>
      </c>
      <c r="T108" s="208">
        <f>$T$60-SUM($L$60:L108)</f>
        <v>0</v>
      </c>
      <c r="U108" s="208">
        <f>$U$60-SUM($M$60:M108)</f>
        <v>0</v>
      </c>
      <c r="V108" s="208">
        <f>$V$60-SUM($N$60:N108)</f>
        <v>0</v>
      </c>
      <c r="W108" s="231"/>
      <c r="X108" s="231"/>
      <c r="Y108" s="231"/>
      <c r="Z108" s="75"/>
      <c r="AA108" s="259"/>
      <c r="AB108" s="259"/>
      <c r="AC108" s="259"/>
      <c r="AD108" s="259"/>
      <c r="AE108" s="259"/>
      <c r="AF108" s="259"/>
      <c r="AG108" s="259"/>
      <c r="AH108" s="259"/>
      <c r="AI108" s="259"/>
      <c r="AJ108" s="259"/>
      <c r="AK108" s="259"/>
      <c r="AL108" s="259"/>
      <c r="AM108" s="259"/>
      <c r="AN108" s="259"/>
      <c r="AO108" s="259"/>
      <c r="AP108" s="259"/>
      <c r="AQ108" s="259"/>
    </row>
    <row r="109" spans="1:48">
      <c r="A109" s="616">
        <v>41567</v>
      </c>
      <c r="B109" s="617" t="b">
        <f t="shared" si="13"/>
        <v>0</v>
      </c>
      <c r="C109" s="609">
        <f t="shared" si="12"/>
        <v>0</v>
      </c>
      <c r="D109" s="263">
        <f t="shared" si="12"/>
        <v>0</v>
      </c>
      <c r="E109" s="263">
        <f t="shared" si="12"/>
        <v>0</v>
      </c>
      <c r="F109" s="610">
        <f t="shared" si="12"/>
        <v>0</v>
      </c>
      <c r="G109" s="604">
        <f t="shared" si="11"/>
        <v>0</v>
      </c>
      <c r="I109" s="237">
        <f t="shared" si="5"/>
        <v>41567</v>
      </c>
      <c r="J109" s="237" t="b">
        <f t="shared" si="6"/>
        <v>0</v>
      </c>
      <c r="K109" s="629"/>
      <c r="L109" s="630"/>
      <c r="M109" s="630"/>
      <c r="N109" s="630"/>
      <c r="O109" s="625">
        <f t="shared" si="7"/>
        <v>0</v>
      </c>
      <c r="Q109" s="237">
        <f t="shared" si="8"/>
        <v>41567</v>
      </c>
      <c r="R109" s="237" t="b">
        <f t="shared" si="9"/>
        <v>0</v>
      </c>
      <c r="S109" s="208">
        <f>$S$60-SUM($K$60:K109)</f>
        <v>0</v>
      </c>
      <c r="T109" s="208">
        <f>$T$60-SUM($L$60:L109)</f>
        <v>0</v>
      </c>
      <c r="U109" s="208">
        <f>$U$60-SUM($M$60:M109)</f>
        <v>0</v>
      </c>
      <c r="V109" s="208">
        <f>$V$60-SUM($N$60:N109)</f>
        <v>0</v>
      </c>
    </row>
    <row r="110" spans="1:48">
      <c r="A110" s="618">
        <v>41598</v>
      </c>
      <c r="B110" s="619" t="b">
        <f t="shared" si="13"/>
        <v>1</v>
      </c>
      <c r="C110" s="611">
        <f t="shared" si="12"/>
        <v>654022506</v>
      </c>
      <c r="D110" s="612">
        <f t="shared" si="12"/>
        <v>0</v>
      </c>
      <c r="E110" s="612">
        <f t="shared" si="12"/>
        <v>0</v>
      </c>
      <c r="F110" s="613">
        <f t="shared" si="12"/>
        <v>0</v>
      </c>
      <c r="G110" s="605">
        <f>ROUND((G52-G53),2)</f>
        <v>654022506</v>
      </c>
      <c r="I110" s="237">
        <f t="shared" si="5"/>
        <v>41598</v>
      </c>
      <c r="J110" s="237" t="b">
        <f t="shared" si="6"/>
        <v>1</v>
      </c>
      <c r="K110" s="629"/>
      <c r="L110" s="630"/>
      <c r="M110" s="630"/>
      <c r="N110" s="630"/>
      <c r="O110" s="625">
        <f t="shared" si="7"/>
        <v>0</v>
      </c>
      <c r="Q110" s="237">
        <f t="shared" si="8"/>
        <v>41598</v>
      </c>
      <c r="R110" s="237" t="b">
        <f t="shared" si="9"/>
        <v>1</v>
      </c>
      <c r="S110" s="208">
        <f>$S$60-SUM($K$60:K110)</f>
        <v>0</v>
      </c>
      <c r="T110" s="208">
        <f>$T$60-SUM($L$60:L110)</f>
        <v>0</v>
      </c>
      <c r="U110" s="208">
        <f>$U$60-SUM($M$60:M110)</f>
        <v>0</v>
      </c>
      <c r="V110" s="208">
        <f>$V$60-SUM($N$60:N110)</f>
        <v>0</v>
      </c>
    </row>
    <row r="111" spans="1:48">
      <c r="A111" s="618">
        <v>41628</v>
      </c>
      <c r="B111" s="623" t="s">
        <v>545</v>
      </c>
      <c r="C111" s="611">
        <f t="shared" si="12"/>
        <v>9630977494</v>
      </c>
      <c r="D111" s="612">
        <f t="shared" si="12"/>
        <v>781200000</v>
      </c>
      <c r="E111" s="612">
        <f t="shared" si="12"/>
        <v>439200000</v>
      </c>
      <c r="F111" s="613">
        <f t="shared" si="12"/>
        <v>548450000</v>
      </c>
      <c r="G111" s="605">
        <f t="shared" si="11"/>
        <v>11399827494</v>
      </c>
      <c r="I111" s="237">
        <f t="shared" si="5"/>
        <v>41628</v>
      </c>
      <c r="J111" s="237" t="str">
        <f t="shared" si="6"/>
        <v>MATURITY</v>
      </c>
      <c r="K111" s="631"/>
      <c r="L111" s="632"/>
      <c r="M111" s="632"/>
      <c r="N111" s="632"/>
      <c r="O111" s="625">
        <f t="shared" si="7"/>
        <v>0</v>
      </c>
      <c r="Q111" s="237">
        <f t="shared" si="8"/>
        <v>41628</v>
      </c>
      <c r="R111" s="237" t="str">
        <f t="shared" si="9"/>
        <v>MATURITY</v>
      </c>
      <c r="S111" s="208">
        <f>$S$60-SUM($K$60:K111)</f>
        <v>0</v>
      </c>
      <c r="T111" s="208">
        <f>$T$60-SUM($L$60:L111)</f>
        <v>0</v>
      </c>
      <c r="U111" s="208">
        <f>$U$60-SUM($M$60:M111)</f>
        <v>0</v>
      </c>
      <c r="V111" s="208">
        <f>$V$60-SUM($N$60:N111)</f>
        <v>0</v>
      </c>
    </row>
    <row r="112" spans="1:48">
      <c r="A112" s="218"/>
      <c r="B112" s="237"/>
      <c r="C112" s="231"/>
      <c r="D112" s="231"/>
      <c r="E112" s="231"/>
      <c r="F112" s="231"/>
      <c r="G112" s="231"/>
      <c r="H112" s="231"/>
    </row>
    <row r="113" spans="1:8">
      <c r="A113" s="237"/>
      <c r="B113" s="237"/>
      <c r="C113" s="259"/>
      <c r="D113" s="259"/>
      <c r="E113" s="259"/>
      <c r="F113" s="259"/>
      <c r="G113" s="259"/>
      <c r="H113" s="231"/>
    </row>
    <row r="114" spans="1:8">
      <c r="A114" s="237"/>
      <c r="B114" s="237"/>
      <c r="C114" s="259"/>
      <c r="D114" s="259"/>
      <c r="E114" s="259"/>
      <c r="F114" s="259"/>
      <c r="G114" s="259"/>
      <c r="H114" s="231"/>
    </row>
    <row r="115" spans="1:8">
      <c r="A115" s="237"/>
      <c r="B115" s="237"/>
      <c r="C115" s="259"/>
      <c r="D115" s="259"/>
      <c r="E115" s="259"/>
      <c r="F115" s="259"/>
      <c r="G115" s="259"/>
      <c r="H115" s="231"/>
    </row>
    <row r="116" spans="1:8">
      <c r="A116" s="237"/>
      <c r="B116" s="237"/>
      <c r="C116" s="259"/>
      <c r="D116" s="259"/>
      <c r="E116" s="259"/>
      <c r="F116" s="259"/>
      <c r="G116" s="259"/>
      <c r="H116" s="231"/>
    </row>
    <row r="117" spans="1:8">
      <c r="A117" s="237"/>
      <c r="B117" s="237"/>
      <c r="C117" s="259"/>
      <c r="D117" s="259"/>
      <c r="E117" s="259"/>
      <c r="F117" s="259"/>
      <c r="G117" s="259"/>
      <c r="H117" s="231"/>
    </row>
    <row r="118" spans="1:8">
      <c r="A118" s="237"/>
      <c r="B118" s="237"/>
      <c r="C118" s="259"/>
      <c r="D118" s="259"/>
      <c r="E118" s="259"/>
      <c r="F118" s="259"/>
      <c r="G118" s="259"/>
      <c r="H118" s="231"/>
    </row>
    <row r="119" spans="1:8">
      <c r="A119" s="237"/>
      <c r="B119" s="237"/>
      <c r="C119" s="259"/>
      <c r="D119" s="259"/>
      <c r="E119" s="259"/>
      <c r="F119" s="259"/>
      <c r="G119" s="259"/>
      <c r="H119" s="231"/>
    </row>
    <row r="120" spans="1:8">
      <c r="A120" s="237"/>
      <c r="B120" s="237"/>
      <c r="C120" s="259"/>
      <c r="D120" s="259"/>
      <c r="E120" s="259"/>
      <c r="F120" s="259"/>
      <c r="G120" s="259"/>
      <c r="H120" s="231"/>
    </row>
    <row r="121" spans="1:8">
      <c r="A121" s="237"/>
      <c r="B121" s="237"/>
      <c r="C121" s="259"/>
      <c r="D121" s="259"/>
      <c r="E121" s="259"/>
      <c r="F121" s="259"/>
      <c r="G121" s="259"/>
      <c r="H121" s="231"/>
    </row>
    <row r="122" spans="1:8">
      <c r="A122" s="237"/>
      <c r="B122" s="237"/>
      <c r="C122" s="259"/>
      <c r="D122" s="259"/>
      <c r="E122" s="259"/>
      <c r="F122" s="259"/>
      <c r="G122" s="259"/>
      <c r="H122" s="231"/>
    </row>
    <row r="123" spans="1:8">
      <c r="A123" s="237"/>
      <c r="B123" s="237"/>
      <c r="C123" s="259"/>
      <c r="D123" s="259"/>
      <c r="E123" s="259"/>
      <c r="F123" s="259"/>
      <c r="G123" s="259"/>
      <c r="H123" s="231"/>
    </row>
    <row r="124" spans="1:8">
      <c r="A124" s="237"/>
      <c r="B124" s="237"/>
      <c r="C124" s="259"/>
      <c r="D124" s="259"/>
      <c r="E124" s="259"/>
      <c r="F124" s="259"/>
      <c r="G124" s="259"/>
      <c r="H124" s="231"/>
    </row>
    <row r="125" spans="1:8">
      <c r="A125" s="237"/>
      <c r="B125" s="237"/>
      <c r="C125" s="259"/>
      <c r="D125" s="259"/>
      <c r="E125" s="259"/>
      <c r="F125" s="259"/>
      <c r="G125" s="259"/>
      <c r="H125" s="231"/>
    </row>
    <row r="126" spans="1:8">
      <c r="A126" s="237"/>
      <c r="B126" s="237"/>
      <c r="C126" s="259"/>
      <c r="D126" s="259"/>
      <c r="E126" s="259"/>
      <c r="F126" s="259"/>
      <c r="G126" s="259"/>
      <c r="H126" s="231"/>
    </row>
    <row r="127" spans="1:8">
      <c r="A127" s="237"/>
      <c r="B127" s="237"/>
      <c r="C127" s="259"/>
      <c r="D127" s="259"/>
      <c r="E127" s="259"/>
      <c r="F127" s="259"/>
      <c r="G127" s="259"/>
      <c r="H127" s="231"/>
    </row>
    <row r="128" spans="1:8">
      <c r="A128" s="237"/>
      <c r="B128" s="237"/>
      <c r="C128" s="259"/>
      <c r="D128" s="259"/>
      <c r="E128" s="259"/>
      <c r="F128" s="259"/>
      <c r="G128" s="259"/>
      <c r="H128" s="231"/>
    </row>
    <row r="129" spans="1:8">
      <c r="A129" s="237"/>
      <c r="B129" s="237"/>
      <c r="C129" s="259"/>
      <c r="D129" s="259"/>
      <c r="E129" s="259"/>
      <c r="F129" s="259"/>
      <c r="G129" s="259"/>
      <c r="H129" s="231"/>
    </row>
    <row r="130" spans="1:8">
      <c r="A130" s="237"/>
      <c r="B130" s="237"/>
      <c r="C130" s="259"/>
      <c r="D130" s="259"/>
      <c r="E130" s="259"/>
      <c r="F130" s="259"/>
      <c r="G130" s="259"/>
      <c r="H130" s="231"/>
    </row>
    <row r="131" spans="1:8">
      <c r="A131" s="237"/>
      <c r="B131" s="237"/>
      <c r="C131" s="259"/>
      <c r="D131" s="259"/>
      <c r="E131" s="259"/>
      <c r="F131" s="259"/>
      <c r="G131" s="259"/>
      <c r="H131" s="231"/>
    </row>
    <row r="132" spans="1:8">
      <c r="A132" s="237"/>
      <c r="B132" s="237"/>
      <c r="C132" s="259"/>
      <c r="D132" s="259"/>
      <c r="E132" s="259"/>
      <c r="F132" s="259"/>
      <c r="G132" s="259"/>
      <c r="H132" s="231"/>
    </row>
    <row r="133" spans="1:8">
      <c r="A133" s="237"/>
      <c r="B133" s="237"/>
      <c r="C133" s="259"/>
      <c r="D133" s="259"/>
      <c r="E133" s="259"/>
      <c r="F133" s="259"/>
      <c r="G133" s="259"/>
      <c r="H133" s="231"/>
    </row>
    <row r="134" spans="1:8">
      <c r="A134" s="237"/>
      <c r="B134" s="237"/>
      <c r="C134" s="259"/>
      <c r="D134" s="259"/>
      <c r="E134" s="259"/>
      <c r="F134" s="259"/>
      <c r="G134" s="259"/>
      <c r="H134" s="231"/>
    </row>
    <row r="135" spans="1:8">
      <c r="A135" s="237"/>
      <c r="B135" s="237"/>
      <c r="C135" s="259"/>
      <c r="D135" s="259"/>
      <c r="E135" s="259"/>
      <c r="F135" s="259"/>
      <c r="G135" s="259"/>
      <c r="H135" s="231"/>
    </row>
    <row r="136" spans="1:8">
      <c r="A136" s="237"/>
      <c r="B136" s="237"/>
      <c r="C136" s="259"/>
      <c r="D136" s="259"/>
      <c r="E136" s="259"/>
      <c r="F136" s="259"/>
      <c r="G136" s="259"/>
      <c r="H136" s="231"/>
    </row>
    <row r="137" spans="1:8">
      <c r="A137" s="237"/>
      <c r="B137" s="237"/>
      <c r="C137" s="259"/>
      <c r="D137" s="259"/>
      <c r="E137" s="259"/>
      <c r="F137" s="259"/>
      <c r="G137" s="259"/>
      <c r="H137" s="231"/>
    </row>
    <row r="138" spans="1:8">
      <c r="A138" s="237"/>
      <c r="B138" s="237"/>
      <c r="C138" s="259"/>
      <c r="D138" s="259"/>
      <c r="E138" s="259"/>
      <c r="F138" s="259"/>
      <c r="G138" s="259"/>
      <c r="H138" s="231"/>
    </row>
    <row r="139" spans="1:8">
      <c r="A139" s="237"/>
      <c r="B139" s="237"/>
      <c r="C139" s="259"/>
      <c r="D139" s="259"/>
      <c r="E139" s="259"/>
      <c r="F139" s="259"/>
      <c r="G139" s="259"/>
      <c r="H139" s="231"/>
    </row>
    <row r="140" spans="1:8">
      <c r="A140" s="237"/>
      <c r="B140" s="237"/>
      <c r="C140" s="259"/>
      <c r="D140" s="259"/>
      <c r="E140" s="259"/>
      <c r="F140" s="259"/>
      <c r="G140" s="259"/>
      <c r="H140" s="231"/>
    </row>
    <row r="141" spans="1:8">
      <c r="A141" s="237"/>
      <c r="B141" s="237"/>
      <c r="C141" s="259"/>
      <c r="D141" s="259"/>
      <c r="E141" s="259"/>
      <c r="F141" s="259"/>
      <c r="G141" s="259"/>
      <c r="H141" s="231"/>
    </row>
    <row r="142" spans="1:8">
      <c r="A142" s="237"/>
      <c r="B142" s="237"/>
      <c r="C142" s="259"/>
      <c r="D142" s="259"/>
      <c r="E142" s="259"/>
      <c r="F142" s="259"/>
      <c r="G142" s="259"/>
      <c r="H142" s="231"/>
    </row>
    <row r="143" spans="1:8">
      <c r="A143" s="237"/>
      <c r="B143" s="237"/>
      <c r="C143" s="259"/>
      <c r="D143" s="259"/>
      <c r="E143" s="259"/>
      <c r="F143" s="259"/>
      <c r="G143" s="259"/>
      <c r="H143" s="231"/>
    </row>
    <row r="144" spans="1:8">
      <c r="A144" s="237"/>
      <c r="B144" s="237"/>
      <c r="C144" s="259"/>
      <c r="D144" s="259"/>
      <c r="E144" s="259"/>
      <c r="F144" s="259"/>
      <c r="G144" s="259"/>
      <c r="H144" s="231"/>
    </row>
    <row r="145" spans="1:8">
      <c r="A145" s="237"/>
      <c r="B145" s="237"/>
      <c r="C145" s="259"/>
      <c r="D145" s="259"/>
      <c r="E145" s="259"/>
      <c r="F145" s="259"/>
      <c r="G145" s="259"/>
      <c r="H145" s="231"/>
    </row>
    <row r="146" spans="1:8">
      <c r="A146" s="237"/>
      <c r="B146" s="237"/>
      <c r="C146" s="259"/>
      <c r="D146" s="259"/>
      <c r="E146" s="259"/>
      <c r="F146" s="259"/>
      <c r="G146" s="259"/>
      <c r="H146" s="231"/>
    </row>
    <row r="147" spans="1:8">
      <c r="A147" s="237"/>
      <c r="B147" s="237"/>
      <c r="C147" s="259"/>
      <c r="D147" s="259"/>
      <c r="E147" s="259"/>
      <c r="F147" s="259"/>
      <c r="G147" s="259"/>
      <c r="H147" s="231"/>
    </row>
    <row r="148" spans="1:8">
      <c r="A148" s="237"/>
      <c r="B148" s="237"/>
      <c r="C148" s="259"/>
      <c r="D148" s="259"/>
      <c r="E148" s="259"/>
      <c r="F148" s="259"/>
      <c r="G148" s="259"/>
      <c r="H148" s="231"/>
    </row>
    <row r="149" spans="1:8">
      <c r="A149" s="237"/>
      <c r="B149" s="237"/>
      <c r="C149" s="259"/>
      <c r="D149" s="259"/>
      <c r="E149" s="259"/>
      <c r="F149" s="259"/>
      <c r="G149" s="259"/>
      <c r="H149" s="231"/>
    </row>
    <row r="150" spans="1:8">
      <c r="A150" s="237"/>
      <c r="B150" s="237"/>
      <c r="C150" s="259"/>
      <c r="D150" s="259"/>
      <c r="E150" s="259"/>
      <c r="F150" s="259"/>
      <c r="G150" s="259"/>
      <c r="H150" s="231"/>
    </row>
    <row r="151" spans="1:8">
      <c r="A151" s="237"/>
      <c r="B151" s="237"/>
      <c r="C151" s="259"/>
      <c r="D151" s="259"/>
      <c r="E151" s="259"/>
      <c r="F151" s="259"/>
      <c r="G151" s="259"/>
      <c r="H151" s="231"/>
    </row>
    <row r="152" spans="1:8">
      <c r="A152" s="237"/>
      <c r="B152" s="237"/>
      <c r="C152" s="259"/>
      <c r="D152" s="259"/>
      <c r="E152" s="259"/>
      <c r="F152" s="259"/>
      <c r="G152" s="259"/>
      <c r="H152" s="231"/>
    </row>
    <row r="153" spans="1:8">
      <c r="A153" s="75"/>
      <c r="B153" s="75"/>
    </row>
    <row r="154" spans="1:8">
      <c r="A154" s="75"/>
      <c r="B154" s="75"/>
    </row>
    <row r="155" spans="1:8">
      <c r="A155" s="75"/>
      <c r="B155" s="75"/>
    </row>
    <row r="156" spans="1:8">
      <c r="A156" s="75"/>
      <c r="B156" s="75"/>
    </row>
    <row r="157" spans="1:8">
      <c r="A157" s="75"/>
      <c r="B157" s="75"/>
    </row>
    <row r="158" spans="1:8">
      <c r="A158" s="75"/>
      <c r="B158" s="75"/>
    </row>
    <row r="159" spans="1:8">
      <c r="A159" s="75"/>
      <c r="B159" s="75"/>
    </row>
    <row r="160" spans="1:8">
      <c r="A160" s="75"/>
      <c r="B160" s="75"/>
    </row>
    <row r="161" spans="1:2">
      <c r="A161" s="75"/>
      <c r="B161" s="75"/>
    </row>
    <row r="162" spans="1:2">
      <c r="A162" s="75"/>
      <c r="B162" s="75"/>
    </row>
    <row r="163" spans="1:2">
      <c r="A163" s="75"/>
      <c r="B163" s="75"/>
    </row>
    <row r="164" spans="1:2">
      <c r="A164" s="75"/>
      <c r="B164" s="75"/>
    </row>
    <row r="165" spans="1:2">
      <c r="A165" s="75"/>
      <c r="B165" s="75"/>
    </row>
    <row r="166" spans="1:2">
      <c r="A166" s="75"/>
      <c r="B166" s="75"/>
    </row>
    <row r="167" spans="1:2">
      <c r="A167" s="75"/>
      <c r="B167" s="75"/>
    </row>
    <row r="168" spans="1:2">
      <c r="A168" s="75"/>
      <c r="B168" s="75"/>
    </row>
    <row r="169" spans="1:2">
      <c r="A169" s="75"/>
      <c r="B169" s="75"/>
    </row>
    <row r="170" spans="1:2">
      <c r="A170" s="75"/>
      <c r="B170" s="75"/>
    </row>
    <row r="171" spans="1:2">
      <c r="A171" s="75"/>
      <c r="B171" s="75"/>
    </row>
    <row r="172" spans="1:2">
      <c r="A172" s="75"/>
      <c r="B172" s="75"/>
    </row>
    <row r="173" spans="1:2">
      <c r="A173" s="75"/>
      <c r="B173" s="75"/>
    </row>
    <row r="174" spans="1:2">
      <c r="A174" s="75"/>
      <c r="B174" s="75"/>
    </row>
    <row r="175" spans="1:2">
      <c r="A175" s="75"/>
      <c r="B175" s="75"/>
    </row>
    <row r="176" spans="1:2">
      <c r="A176" s="75"/>
      <c r="B176" s="75"/>
    </row>
    <row r="177" spans="1:2">
      <c r="A177" s="75"/>
      <c r="B177" s="75"/>
    </row>
    <row r="178" spans="1:2">
      <c r="A178" s="75"/>
      <c r="B178" s="75"/>
    </row>
  </sheetData>
  <autoFilter ref="A2:F42"/>
  <phoneticPr fontId="3" type="noConversion"/>
  <pageMargins left="0.75" right="0.75" top="1" bottom="1" header="0.5" footer="0.5"/>
  <pageSetup paperSize="8" orientation="landscape" r:id="rId1"/>
  <headerFooter alignWithMargins="0"/>
</worksheet>
</file>

<file path=xl/worksheets/sheet9.xml><?xml version="1.0" encoding="utf-8"?>
<worksheet xmlns="http://schemas.openxmlformats.org/spreadsheetml/2006/main" xmlns:r="http://schemas.openxmlformats.org/officeDocument/2006/relationships">
  <sheetPr codeName="Sheet7"/>
  <dimension ref="A1:IV57"/>
  <sheetViews>
    <sheetView topLeftCell="A19" workbookViewId="0">
      <selection activeCell="B18" sqref="B18"/>
    </sheetView>
  </sheetViews>
  <sheetFormatPr defaultRowHeight="12.75"/>
  <cols>
    <col min="1" max="1" width="31.7109375" bestFit="1" customWidth="1"/>
    <col min="2" max="2" width="49.140625" bestFit="1" customWidth="1"/>
    <col min="3" max="3" width="2.28515625" style="101" customWidth="1"/>
    <col min="4" max="4" width="40.5703125" bestFit="1" customWidth="1"/>
    <col min="5" max="5" width="49" customWidth="1"/>
    <col min="6" max="6" width="2.5703125" style="101" customWidth="1"/>
    <col min="7" max="7" width="27.28515625" bestFit="1" customWidth="1"/>
    <col min="8" max="8" width="31.5703125" bestFit="1" customWidth="1"/>
  </cols>
  <sheetData>
    <row r="1" spans="1:5" ht="13.5" thickBot="1">
      <c r="A1" s="92" t="s">
        <v>819</v>
      </c>
    </row>
    <row r="2" spans="1:5" ht="204">
      <c r="A2" s="1629" t="s">
        <v>380</v>
      </c>
      <c r="B2" s="1630"/>
      <c r="C2" s="1630"/>
      <c r="D2" s="1631"/>
      <c r="E2" s="371" t="s">
        <v>379</v>
      </c>
    </row>
    <row r="3" spans="1:5">
      <c r="A3" s="1632"/>
      <c r="B3" s="1633"/>
      <c r="C3" s="1633"/>
      <c r="D3" s="1634"/>
    </row>
    <row r="4" spans="1:5">
      <c r="A4" s="1632"/>
      <c r="B4" s="1633"/>
      <c r="C4" s="1633"/>
      <c r="D4" s="1634"/>
    </row>
    <row r="5" spans="1:5">
      <c r="A5" s="1632"/>
      <c r="B5" s="1633"/>
      <c r="C5" s="1633"/>
      <c r="D5" s="1634"/>
    </row>
    <row r="6" spans="1:5">
      <c r="A6" s="1632"/>
      <c r="B6" s="1633"/>
      <c r="C6" s="1633"/>
      <c r="D6" s="1634"/>
    </row>
    <row r="7" spans="1:5">
      <c r="A7" s="1632"/>
      <c r="B7" s="1633"/>
      <c r="C7" s="1633"/>
      <c r="D7" s="1634"/>
    </row>
    <row r="8" spans="1:5">
      <c r="A8" s="1632"/>
      <c r="B8" s="1633"/>
      <c r="C8" s="1633"/>
      <c r="D8" s="1634"/>
    </row>
    <row r="9" spans="1:5">
      <c r="A9" s="1632"/>
      <c r="B9" s="1633"/>
      <c r="C9" s="1633"/>
      <c r="D9" s="1634"/>
    </row>
    <row r="10" spans="1:5">
      <c r="A10" s="1632"/>
      <c r="B10" s="1633"/>
      <c r="C10" s="1633"/>
      <c r="D10" s="1634"/>
    </row>
    <row r="11" spans="1:5">
      <c r="A11" s="1632"/>
      <c r="B11" s="1633"/>
      <c r="C11" s="1633"/>
      <c r="D11" s="1634"/>
    </row>
    <row r="12" spans="1:5">
      <c r="A12" s="1632"/>
      <c r="B12" s="1633"/>
      <c r="C12" s="1633"/>
      <c r="D12" s="1634"/>
    </row>
    <row r="13" spans="1:5" ht="48.75" customHeight="1" thickBot="1">
      <c r="A13" s="1635"/>
      <c r="B13" s="1636"/>
      <c r="C13" s="1636"/>
      <c r="D13" s="1637"/>
    </row>
    <row r="18" spans="1:8">
      <c r="A18" s="93" t="s">
        <v>528</v>
      </c>
      <c r="D18" s="93" t="s">
        <v>164</v>
      </c>
      <c r="E18" s="93" t="s">
        <v>390</v>
      </c>
      <c r="F18" s="103"/>
      <c r="G18" s="92" t="s">
        <v>465</v>
      </c>
      <c r="H18" s="92" t="s">
        <v>466</v>
      </c>
    </row>
    <row r="19" spans="1:8">
      <c r="A19" t="s">
        <v>766</v>
      </c>
      <c r="B19" t="s">
        <v>464</v>
      </c>
      <c r="D19" s="105" t="s">
        <v>476</v>
      </c>
      <c r="E19" s="105" t="s">
        <v>388</v>
      </c>
      <c r="F19" s="104"/>
      <c r="G19" t="s">
        <v>169</v>
      </c>
    </row>
    <row r="20" spans="1:8">
      <c r="A20" t="s">
        <v>849</v>
      </c>
      <c r="B20" t="s">
        <v>464</v>
      </c>
      <c r="D20" t="s">
        <v>160</v>
      </c>
      <c r="E20" t="s">
        <v>469</v>
      </c>
    </row>
    <row r="21" spans="1:8">
      <c r="D21" t="s">
        <v>161</v>
      </c>
      <c r="E21" t="s">
        <v>470</v>
      </c>
    </row>
    <row r="22" spans="1:8" ht="25.5">
      <c r="D22" t="s">
        <v>162</v>
      </c>
      <c r="E22" s="98" t="s">
        <v>471</v>
      </c>
    </row>
    <row r="23" spans="1:8">
      <c r="D23" t="s">
        <v>163</v>
      </c>
    </row>
    <row r="25" spans="1:8">
      <c r="D25" s="93" t="s">
        <v>167</v>
      </c>
    </row>
    <row r="26" spans="1:8">
      <c r="D26" t="s">
        <v>982</v>
      </c>
    </row>
    <row r="27" spans="1:8">
      <c r="D27" t="s">
        <v>981</v>
      </c>
    </row>
    <row r="30" spans="1:8">
      <c r="A30" s="93" t="s">
        <v>529</v>
      </c>
      <c r="B30" s="93" t="s">
        <v>530</v>
      </c>
      <c r="D30" s="93" t="s">
        <v>529</v>
      </c>
      <c r="E30" s="93"/>
      <c r="F30" s="103"/>
    </row>
    <row r="31" spans="1:8" ht="51">
      <c r="A31" s="95" t="s">
        <v>526</v>
      </c>
      <c r="B31" s="91" t="s">
        <v>527</v>
      </c>
      <c r="D31" s="92" t="s">
        <v>270</v>
      </c>
    </row>
    <row r="32" spans="1:8" ht="38.25">
      <c r="A32" s="91" t="s">
        <v>168</v>
      </c>
      <c r="B32" s="94" t="s">
        <v>158</v>
      </c>
      <c r="D32" t="s">
        <v>475</v>
      </c>
      <c r="E32" t="s">
        <v>166</v>
      </c>
    </row>
    <row r="33" spans="1:256" ht="76.5">
      <c r="A33" s="95" t="s">
        <v>588</v>
      </c>
      <c r="B33" s="91" t="s">
        <v>459</v>
      </c>
      <c r="D33" t="s">
        <v>389</v>
      </c>
    </row>
    <row r="34" spans="1:256" ht="51">
      <c r="A34" s="95" t="s">
        <v>383</v>
      </c>
      <c r="B34" s="91" t="s">
        <v>159</v>
      </c>
      <c r="D34" t="s">
        <v>165</v>
      </c>
      <c r="E34" s="91" t="s">
        <v>821</v>
      </c>
    </row>
    <row r="35" spans="1:256">
      <c r="A35" s="95"/>
      <c r="B35" s="95"/>
    </row>
    <row r="36" spans="1:256">
      <c r="A36" s="100" t="s">
        <v>463</v>
      </c>
      <c r="B36" s="95"/>
      <c r="D36" s="93" t="s">
        <v>271</v>
      </c>
    </row>
    <row r="37" spans="1:256" ht="25.5">
      <c r="A37" s="95" t="s">
        <v>433</v>
      </c>
      <c r="B37" s="91" t="s">
        <v>385</v>
      </c>
      <c r="C37" s="102"/>
      <c r="D37" t="s">
        <v>381</v>
      </c>
      <c r="E37" s="91" t="s">
        <v>820</v>
      </c>
      <c r="G37" s="95"/>
      <c r="H37" s="95"/>
      <c r="I37" s="91"/>
      <c r="J37" s="95"/>
      <c r="K37" s="95"/>
      <c r="L37" s="91"/>
      <c r="M37" s="95"/>
      <c r="N37" s="95"/>
      <c r="O37" s="91"/>
      <c r="P37" s="95"/>
      <c r="Q37" s="95"/>
      <c r="R37" s="91"/>
      <c r="S37" s="95"/>
      <c r="T37" s="95"/>
      <c r="U37" s="91"/>
      <c r="V37" s="95"/>
      <c r="W37" s="95"/>
      <c r="X37" s="91"/>
      <c r="Y37" s="95"/>
      <c r="Z37" s="95"/>
      <c r="AA37" s="91"/>
      <c r="AB37" s="95"/>
      <c r="AC37" s="95"/>
      <c r="AD37" s="91"/>
      <c r="AE37" s="95"/>
      <c r="AF37" s="95"/>
      <c r="AG37" s="91"/>
      <c r="AH37" s="95"/>
      <c r="AI37" s="95"/>
      <c r="AJ37" s="91"/>
      <c r="AK37" s="95"/>
      <c r="AL37" s="95"/>
      <c r="AM37" s="91"/>
      <c r="AN37" s="95"/>
      <c r="AO37" s="95"/>
      <c r="AP37" s="91"/>
      <c r="AQ37" s="95"/>
      <c r="AR37" s="95"/>
      <c r="AS37" s="91"/>
      <c r="AT37" s="95"/>
      <c r="AU37" s="95"/>
      <c r="AV37" s="91"/>
      <c r="AW37" s="95"/>
      <c r="AX37" s="95"/>
      <c r="AY37" s="91"/>
      <c r="AZ37" s="95"/>
      <c r="BA37" s="95"/>
      <c r="BB37" s="91"/>
      <c r="BC37" s="95"/>
      <c r="BD37" s="95"/>
      <c r="BE37" s="91"/>
      <c r="BF37" s="95"/>
      <c r="BG37" s="95"/>
      <c r="BH37" s="91"/>
      <c r="BI37" s="95"/>
      <c r="BJ37" s="95"/>
      <c r="BK37" s="91"/>
      <c r="BL37" s="95"/>
      <c r="BM37" s="95"/>
      <c r="BN37" s="91"/>
      <c r="BO37" s="95"/>
      <c r="BP37" s="95"/>
      <c r="BQ37" s="91"/>
      <c r="BR37" s="95"/>
      <c r="BS37" s="95"/>
      <c r="BT37" s="91"/>
      <c r="BU37" s="95"/>
      <c r="BV37" s="95"/>
      <c r="BW37" s="91"/>
      <c r="BX37" s="95"/>
      <c r="BY37" s="95"/>
      <c r="BZ37" s="91"/>
      <c r="CA37" s="95"/>
      <c r="CB37" s="95"/>
      <c r="CC37" s="91"/>
      <c r="CD37" s="95"/>
      <c r="CE37" s="95"/>
      <c r="CF37" s="91"/>
      <c r="CG37" s="95"/>
      <c r="CH37" s="95"/>
      <c r="CI37" s="91"/>
      <c r="CJ37" s="95"/>
      <c r="CK37" s="95"/>
      <c r="CL37" s="91"/>
      <c r="CM37" s="95"/>
      <c r="CN37" s="95"/>
      <c r="CO37" s="91"/>
      <c r="CP37" s="95"/>
      <c r="CQ37" s="95"/>
      <c r="CR37" s="91"/>
      <c r="CS37" s="95"/>
      <c r="CT37" s="95"/>
      <c r="CU37" s="91"/>
      <c r="CV37" s="95"/>
      <c r="CW37" s="95"/>
      <c r="CX37" s="91"/>
      <c r="CY37" s="95"/>
      <c r="CZ37" s="95"/>
      <c r="DA37" s="91"/>
      <c r="DB37" s="95"/>
      <c r="DC37" s="95"/>
      <c r="DD37" s="91"/>
      <c r="DE37" s="95"/>
      <c r="DF37" s="95"/>
      <c r="DG37" s="91"/>
      <c r="DH37" s="95"/>
      <c r="DI37" s="95"/>
      <c r="DJ37" s="91"/>
      <c r="DK37" s="95"/>
      <c r="DL37" s="95"/>
      <c r="DM37" s="91"/>
      <c r="DN37" s="95"/>
      <c r="DO37" s="95"/>
      <c r="DP37" s="91"/>
      <c r="DQ37" s="95"/>
      <c r="DR37" s="95"/>
      <c r="DS37" s="91"/>
      <c r="DT37" s="95"/>
      <c r="DU37" s="95"/>
      <c r="DV37" s="91"/>
      <c r="DW37" s="95"/>
      <c r="DX37" s="95"/>
      <c r="DY37" s="91"/>
      <c r="DZ37" s="95"/>
      <c r="EA37" s="95"/>
      <c r="EB37" s="91"/>
      <c r="EC37" s="95"/>
      <c r="ED37" s="95"/>
      <c r="EE37" s="91"/>
      <c r="EF37" s="95"/>
      <c r="EG37" s="95"/>
      <c r="EH37" s="91"/>
      <c r="EI37" s="95"/>
      <c r="EJ37" s="95"/>
      <c r="EK37" s="91"/>
      <c r="EL37" s="95"/>
      <c r="EM37" s="95"/>
      <c r="EN37" s="91"/>
      <c r="EO37" s="95"/>
      <c r="EP37" s="95"/>
      <c r="EQ37" s="91"/>
      <c r="ER37" s="95"/>
      <c r="ES37" s="95"/>
      <c r="ET37" s="91"/>
      <c r="EU37" s="95"/>
      <c r="EV37" s="95"/>
      <c r="EW37" s="91"/>
      <c r="EX37" s="95"/>
      <c r="EY37" s="95"/>
      <c r="EZ37" s="91"/>
      <c r="FA37" s="95"/>
      <c r="FB37" s="95"/>
      <c r="FC37" s="91"/>
      <c r="FD37" s="95"/>
      <c r="FE37" s="95"/>
      <c r="FF37" s="91"/>
      <c r="FG37" s="95"/>
      <c r="FH37" s="95"/>
      <c r="FI37" s="91"/>
      <c r="FJ37" s="95"/>
      <c r="FK37" s="95"/>
      <c r="FL37" s="91"/>
      <c r="FM37" s="95"/>
      <c r="FN37" s="95"/>
      <c r="FO37" s="91"/>
      <c r="FP37" s="95"/>
      <c r="FQ37" s="95"/>
      <c r="FR37" s="91"/>
      <c r="FS37" s="95"/>
      <c r="FT37" s="95"/>
      <c r="FU37" s="91"/>
      <c r="FV37" s="95"/>
      <c r="FW37" s="95"/>
      <c r="FX37" s="91"/>
      <c r="FY37" s="95"/>
      <c r="FZ37" s="95"/>
      <c r="GA37" s="91"/>
      <c r="GB37" s="95"/>
      <c r="GC37" s="95"/>
      <c r="GD37" s="91"/>
      <c r="GE37" s="95"/>
      <c r="GF37" s="95"/>
      <c r="GG37" s="91"/>
      <c r="GH37" s="95"/>
      <c r="GI37" s="95"/>
      <c r="GJ37" s="91"/>
      <c r="GK37" s="95"/>
      <c r="GL37" s="95"/>
      <c r="GM37" s="91"/>
      <c r="GN37" s="95"/>
      <c r="GO37" s="95"/>
      <c r="GP37" s="91"/>
      <c r="GQ37" s="95"/>
      <c r="GR37" s="95"/>
      <c r="GS37" s="91"/>
      <c r="GT37" s="95"/>
      <c r="GU37" s="95"/>
      <c r="GV37" s="91"/>
      <c r="GW37" s="95"/>
      <c r="GX37" s="95"/>
      <c r="GY37" s="91"/>
      <c r="GZ37" s="95"/>
      <c r="HA37" s="95"/>
      <c r="HB37" s="91"/>
      <c r="HC37" s="95"/>
      <c r="HD37" s="95"/>
      <c r="HE37" s="91"/>
      <c r="HF37" s="95"/>
      <c r="HG37" s="95"/>
      <c r="HH37" s="91"/>
      <c r="HI37" s="95"/>
      <c r="HJ37" s="95"/>
      <c r="HK37" s="91"/>
      <c r="HL37" s="95"/>
      <c r="HM37" s="95"/>
      <c r="HN37" s="91"/>
      <c r="HO37" s="95"/>
      <c r="HP37" s="95"/>
      <c r="HQ37" s="91"/>
      <c r="HR37" s="95"/>
      <c r="HS37" s="95"/>
      <c r="HT37" s="91"/>
      <c r="HU37" s="95"/>
      <c r="HV37" s="95"/>
      <c r="HW37" s="91"/>
      <c r="HX37" s="95"/>
      <c r="HY37" s="95"/>
      <c r="HZ37" s="91"/>
      <c r="IA37" s="95"/>
      <c r="IB37" s="95"/>
      <c r="IC37" s="91"/>
      <c r="ID37" s="95"/>
      <c r="IE37" s="95"/>
      <c r="IF37" s="91"/>
      <c r="IG37" s="95"/>
      <c r="IH37" s="95"/>
      <c r="II37" s="91"/>
      <c r="IJ37" s="95"/>
      <c r="IK37" s="95"/>
      <c r="IL37" s="91"/>
      <c r="IM37" s="95"/>
      <c r="IN37" s="95"/>
      <c r="IO37" s="91"/>
      <c r="IP37" s="95"/>
      <c r="IQ37" s="95"/>
      <c r="IR37" s="91"/>
      <c r="IS37" s="95"/>
      <c r="IT37" s="95"/>
      <c r="IU37" s="91"/>
      <c r="IV37" s="95"/>
    </row>
    <row r="38" spans="1:256" ht="51">
      <c r="A38" s="95" t="s">
        <v>460</v>
      </c>
      <c r="B38" s="91" t="s">
        <v>461</v>
      </c>
      <c r="C38" s="102"/>
      <c r="D38" t="s">
        <v>384</v>
      </c>
      <c r="E38" s="91" t="s">
        <v>821</v>
      </c>
      <c r="G38" s="95"/>
      <c r="H38" s="95"/>
      <c r="I38" s="91"/>
      <c r="J38" s="95"/>
      <c r="K38" s="95"/>
      <c r="L38" s="91"/>
      <c r="M38" s="95"/>
      <c r="N38" s="95"/>
      <c r="O38" s="91"/>
      <c r="P38" s="95"/>
      <c r="Q38" s="95"/>
      <c r="R38" s="91"/>
      <c r="S38" s="95"/>
      <c r="T38" s="95"/>
      <c r="U38" s="91"/>
      <c r="V38" s="95"/>
      <c r="W38" s="95"/>
      <c r="X38" s="91"/>
      <c r="Y38" s="95"/>
      <c r="Z38" s="95"/>
      <c r="AA38" s="91"/>
      <c r="AB38" s="95"/>
      <c r="AC38" s="95"/>
      <c r="AD38" s="91"/>
      <c r="AE38" s="95"/>
      <c r="AF38" s="95"/>
      <c r="AG38" s="91"/>
      <c r="AH38" s="95"/>
      <c r="AI38" s="95"/>
      <c r="AJ38" s="91"/>
      <c r="AK38" s="95"/>
      <c r="AL38" s="95"/>
      <c r="AM38" s="91"/>
      <c r="AN38" s="95"/>
      <c r="AO38" s="95"/>
      <c r="AP38" s="91"/>
      <c r="AQ38" s="95"/>
      <c r="AR38" s="95"/>
      <c r="AS38" s="91"/>
      <c r="AT38" s="95"/>
      <c r="AU38" s="95"/>
      <c r="AV38" s="91"/>
      <c r="AW38" s="95"/>
      <c r="AX38" s="95"/>
      <c r="AY38" s="91"/>
      <c r="AZ38" s="95"/>
      <c r="BA38" s="95"/>
      <c r="BB38" s="91"/>
      <c r="BC38" s="95"/>
      <c r="BD38" s="95"/>
      <c r="BE38" s="91"/>
      <c r="BF38" s="95"/>
      <c r="BG38" s="95"/>
      <c r="BH38" s="91"/>
      <c r="BI38" s="95"/>
      <c r="BJ38" s="95"/>
      <c r="BK38" s="91"/>
      <c r="BL38" s="95"/>
      <c r="BM38" s="95"/>
      <c r="BN38" s="91"/>
      <c r="BO38" s="95"/>
      <c r="BP38" s="95"/>
      <c r="BQ38" s="91"/>
      <c r="BR38" s="95"/>
      <c r="BS38" s="95"/>
      <c r="BT38" s="91"/>
      <c r="BU38" s="95"/>
      <c r="BV38" s="95"/>
      <c r="BW38" s="91"/>
      <c r="BX38" s="95"/>
      <c r="BY38" s="95"/>
      <c r="BZ38" s="91"/>
      <c r="CA38" s="95"/>
      <c r="CB38" s="95"/>
      <c r="CC38" s="91"/>
      <c r="CD38" s="95"/>
      <c r="CE38" s="95"/>
      <c r="CF38" s="91"/>
      <c r="CG38" s="95"/>
      <c r="CH38" s="95"/>
      <c r="CI38" s="91"/>
      <c r="CJ38" s="95"/>
      <c r="CK38" s="95"/>
      <c r="CL38" s="91"/>
      <c r="CM38" s="95"/>
      <c r="CN38" s="95"/>
      <c r="CO38" s="91"/>
      <c r="CP38" s="95"/>
      <c r="CQ38" s="95"/>
      <c r="CR38" s="91"/>
      <c r="CS38" s="95"/>
      <c r="CT38" s="95"/>
      <c r="CU38" s="91"/>
      <c r="CV38" s="95"/>
      <c r="CW38" s="95"/>
      <c r="CX38" s="91"/>
      <c r="CY38" s="95"/>
      <c r="CZ38" s="95"/>
      <c r="DA38" s="91"/>
      <c r="DB38" s="95"/>
      <c r="DC38" s="95"/>
      <c r="DD38" s="91"/>
      <c r="DE38" s="95"/>
      <c r="DF38" s="95"/>
      <c r="DG38" s="91"/>
      <c r="DH38" s="95"/>
      <c r="DI38" s="95"/>
      <c r="DJ38" s="91"/>
      <c r="DK38" s="95"/>
      <c r="DL38" s="95"/>
      <c r="DM38" s="91"/>
      <c r="DN38" s="95"/>
      <c r="DO38" s="95"/>
      <c r="DP38" s="91"/>
      <c r="DQ38" s="95"/>
      <c r="DR38" s="95"/>
      <c r="DS38" s="91"/>
      <c r="DT38" s="95"/>
      <c r="DU38" s="95"/>
      <c r="DV38" s="91"/>
      <c r="DW38" s="95"/>
      <c r="DX38" s="95"/>
      <c r="DY38" s="91"/>
      <c r="DZ38" s="95"/>
      <c r="EA38" s="95"/>
      <c r="EB38" s="91"/>
      <c r="EC38" s="95"/>
      <c r="ED38" s="95"/>
      <c r="EE38" s="91"/>
      <c r="EF38" s="95"/>
      <c r="EG38" s="95"/>
      <c r="EH38" s="91"/>
      <c r="EI38" s="95"/>
      <c r="EJ38" s="95"/>
      <c r="EK38" s="91"/>
      <c r="EL38" s="95"/>
      <c r="EM38" s="95"/>
      <c r="EN38" s="91"/>
      <c r="EO38" s="95"/>
      <c r="EP38" s="95"/>
      <c r="EQ38" s="91"/>
      <c r="ER38" s="95"/>
      <c r="ES38" s="95"/>
      <c r="ET38" s="91"/>
      <c r="EU38" s="95"/>
      <c r="EV38" s="95"/>
      <c r="EW38" s="91"/>
      <c r="EX38" s="95"/>
      <c r="EY38" s="95"/>
      <c r="EZ38" s="91"/>
      <c r="FA38" s="95"/>
      <c r="FB38" s="95"/>
      <c r="FC38" s="91"/>
      <c r="FD38" s="95"/>
      <c r="FE38" s="95"/>
      <c r="FF38" s="91"/>
      <c r="FG38" s="95"/>
      <c r="FH38" s="95"/>
      <c r="FI38" s="91"/>
      <c r="FJ38" s="95"/>
      <c r="FK38" s="95"/>
      <c r="FL38" s="91"/>
      <c r="FM38" s="95"/>
      <c r="FN38" s="95"/>
      <c r="FO38" s="91"/>
      <c r="FP38" s="95"/>
      <c r="FQ38" s="95"/>
      <c r="FR38" s="91"/>
      <c r="FS38" s="95"/>
      <c r="FT38" s="95"/>
      <c r="FU38" s="91"/>
      <c r="FV38" s="95"/>
      <c r="FW38" s="95"/>
      <c r="FX38" s="91"/>
      <c r="FY38" s="95"/>
      <c r="FZ38" s="95"/>
      <c r="GA38" s="91"/>
      <c r="GB38" s="95"/>
      <c r="GC38" s="95"/>
      <c r="GD38" s="91"/>
      <c r="GE38" s="95"/>
      <c r="GF38" s="95"/>
      <c r="GG38" s="91"/>
      <c r="GH38" s="95"/>
      <c r="GI38" s="95"/>
      <c r="GJ38" s="91"/>
      <c r="GK38" s="95"/>
      <c r="GL38" s="95"/>
      <c r="GM38" s="91"/>
      <c r="GN38" s="95"/>
      <c r="GO38" s="95"/>
      <c r="GP38" s="91"/>
      <c r="GQ38" s="95"/>
      <c r="GR38" s="95"/>
      <c r="GS38" s="91"/>
      <c r="GT38" s="95"/>
      <c r="GU38" s="95"/>
      <c r="GV38" s="91"/>
      <c r="GW38" s="95"/>
      <c r="GX38" s="95"/>
      <c r="GY38" s="91"/>
      <c r="GZ38" s="95"/>
      <c r="HA38" s="95"/>
      <c r="HB38" s="91"/>
      <c r="HC38" s="95"/>
      <c r="HD38" s="95"/>
      <c r="HE38" s="91"/>
      <c r="HF38" s="95"/>
      <c r="HG38" s="95"/>
      <c r="HH38" s="91"/>
      <c r="HI38" s="95"/>
      <c r="HJ38" s="95"/>
      <c r="HK38" s="91"/>
      <c r="HL38" s="95"/>
      <c r="HM38" s="95"/>
      <c r="HN38" s="91"/>
      <c r="HO38" s="95"/>
      <c r="HP38" s="95"/>
      <c r="HQ38" s="91"/>
      <c r="HR38" s="95"/>
      <c r="HS38" s="95"/>
      <c r="HT38" s="91"/>
      <c r="HU38" s="95"/>
      <c r="HV38" s="95"/>
      <c r="HW38" s="91"/>
      <c r="HX38" s="95"/>
      <c r="HY38" s="95"/>
      <c r="HZ38" s="91"/>
      <c r="IA38" s="95"/>
      <c r="IB38" s="95"/>
      <c r="IC38" s="91"/>
      <c r="ID38" s="95"/>
      <c r="IE38" s="95"/>
      <c r="IF38" s="91"/>
      <c r="IG38" s="95"/>
      <c r="IH38" s="95"/>
      <c r="II38" s="91"/>
      <c r="IJ38" s="95"/>
      <c r="IK38" s="95"/>
      <c r="IL38" s="91"/>
      <c r="IM38" s="95"/>
      <c r="IN38" s="95"/>
      <c r="IO38" s="91"/>
      <c r="IP38" s="95"/>
      <c r="IQ38" s="95"/>
      <c r="IR38" s="91"/>
      <c r="IS38" s="95"/>
      <c r="IT38" s="95"/>
      <c r="IU38" s="91"/>
      <c r="IV38" s="95"/>
    </row>
    <row r="39" spans="1:256" ht="25.5">
      <c r="A39" s="95" t="s">
        <v>435</v>
      </c>
      <c r="B39" s="91" t="s">
        <v>462</v>
      </c>
      <c r="C39" s="102"/>
      <c r="G39" s="95"/>
      <c r="H39" s="95"/>
      <c r="I39" s="91"/>
      <c r="J39" s="95"/>
      <c r="K39" s="95"/>
      <c r="L39" s="91"/>
      <c r="M39" s="95"/>
      <c r="N39" s="95"/>
      <c r="O39" s="91"/>
      <c r="P39" s="95"/>
      <c r="Q39" s="95"/>
      <c r="R39" s="91"/>
      <c r="S39" s="95"/>
      <c r="T39" s="95"/>
      <c r="U39" s="91"/>
      <c r="V39" s="95"/>
      <c r="W39" s="95"/>
      <c r="X39" s="91"/>
      <c r="Y39" s="95"/>
      <c r="Z39" s="95"/>
      <c r="AA39" s="91"/>
      <c r="AB39" s="95"/>
      <c r="AC39" s="95"/>
      <c r="AD39" s="91"/>
      <c r="AE39" s="95"/>
      <c r="AF39" s="95"/>
      <c r="AG39" s="91"/>
      <c r="AH39" s="95"/>
      <c r="AI39" s="95"/>
      <c r="AJ39" s="91"/>
      <c r="AK39" s="95"/>
      <c r="AL39" s="95"/>
      <c r="AM39" s="91"/>
      <c r="AN39" s="95"/>
      <c r="AO39" s="95"/>
      <c r="AP39" s="91"/>
      <c r="AQ39" s="95"/>
      <c r="AR39" s="95"/>
      <c r="AS39" s="91"/>
      <c r="AT39" s="95"/>
      <c r="AU39" s="95"/>
      <c r="AV39" s="91"/>
      <c r="AW39" s="95"/>
      <c r="AX39" s="95"/>
      <c r="AY39" s="91"/>
      <c r="AZ39" s="95"/>
      <c r="BA39" s="95"/>
      <c r="BB39" s="91"/>
      <c r="BC39" s="95"/>
      <c r="BD39" s="95"/>
      <c r="BE39" s="91"/>
      <c r="BF39" s="95"/>
      <c r="BG39" s="95"/>
      <c r="BH39" s="91"/>
      <c r="BI39" s="95"/>
      <c r="BJ39" s="95"/>
      <c r="BK39" s="91"/>
      <c r="BL39" s="95"/>
      <c r="BM39" s="95"/>
      <c r="BN39" s="91"/>
      <c r="BO39" s="95"/>
      <c r="BP39" s="95"/>
      <c r="BQ39" s="91"/>
      <c r="BR39" s="95"/>
      <c r="BS39" s="95"/>
      <c r="BT39" s="91"/>
      <c r="BU39" s="95"/>
      <c r="BV39" s="95"/>
      <c r="BW39" s="91"/>
      <c r="BX39" s="95"/>
      <c r="BY39" s="95"/>
      <c r="BZ39" s="91"/>
      <c r="CA39" s="95"/>
      <c r="CB39" s="95"/>
      <c r="CC39" s="91"/>
      <c r="CD39" s="95"/>
      <c r="CE39" s="95"/>
      <c r="CF39" s="91"/>
      <c r="CG39" s="95"/>
      <c r="CH39" s="95"/>
      <c r="CI39" s="91"/>
      <c r="CJ39" s="95"/>
      <c r="CK39" s="95"/>
      <c r="CL39" s="91"/>
      <c r="CM39" s="95"/>
      <c r="CN39" s="95"/>
      <c r="CO39" s="91"/>
      <c r="CP39" s="95"/>
      <c r="CQ39" s="95"/>
      <c r="CR39" s="91"/>
      <c r="CS39" s="95"/>
      <c r="CT39" s="95"/>
      <c r="CU39" s="91"/>
      <c r="CV39" s="95"/>
      <c r="CW39" s="95"/>
      <c r="CX39" s="91"/>
      <c r="CY39" s="95"/>
      <c r="CZ39" s="95"/>
      <c r="DA39" s="91"/>
      <c r="DB39" s="95"/>
      <c r="DC39" s="95"/>
      <c r="DD39" s="91"/>
      <c r="DE39" s="95"/>
      <c r="DF39" s="95"/>
      <c r="DG39" s="91"/>
      <c r="DH39" s="95"/>
      <c r="DI39" s="95"/>
      <c r="DJ39" s="91"/>
      <c r="DK39" s="95"/>
      <c r="DL39" s="95"/>
      <c r="DM39" s="91"/>
      <c r="DN39" s="95"/>
      <c r="DO39" s="95"/>
      <c r="DP39" s="91"/>
      <c r="DQ39" s="95"/>
      <c r="DR39" s="95"/>
      <c r="DS39" s="91"/>
      <c r="DT39" s="95"/>
      <c r="DU39" s="95"/>
      <c r="DV39" s="91"/>
      <c r="DW39" s="95"/>
      <c r="DX39" s="95"/>
      <c r="DY39" s="91"/>
      <c r="DZ39" s="95"/>
      <c r="EA39" s="95"/>
      <c r="EB39" s="91"/>
      <c r="EC39" s="95"/>
      <c r="ED39" s="95"/>
      <c r="EE39" s="91"/>
      <c r="EF39" s="95"/>
      <c r="EG39" s="95"/>
      <c r="EH39" s="91"/>
      <c r="EI39" s="95"/>
      <c r="EJ39" s="95"/>
      <c r="EK39" s="91"/>
      <c r="EL39" s="95"/>
      <c r="EM39" s="95"/>
      <c r="EN39" s="91"/>
      <c r="EO39" s="95"/>
      <c r="EP39" s="95"/>
      <c r="EQ39" s="91"/>
      <c r="ER39" s="95"/>
      <c r="ES39" s="95"/>
      <c r="ET39" s="91"/>
      <c r="EU39" s="95"/>
      <c r="EV39" s="95"/>
      <c r="EW39" s="91"/>
      <c r="EX39" s="95"/>
      <c r="EY39" s="95"/>
      <c r="EZ39" s="91"/>
      <c r="FA39" s="95"/>
      <c r="FB39" s="95"/>
      <c r="FC39" s="91"/>
      <c r="FD39" s="95"/>
      <c r="FE39" s="95"/>
      <c r="FF39" s="91"/>
      <c r="FG39" s="95"/>
      <c r="FH39" s="95"/>
      <c r="FI39" s="91"/>
      <c r="FJ39" s="95"/>
      <c r="FK39" s="95"/>
      <c r="FL39" s="91"/>
      <c r="FM39" s="95"/>
      <c r="FN39" s="95"/>
      <c r="FO39" s="91"/>
      <c r="FP39" s="95"/>
      <c r="FQ39" s="95"/>
      <c r="FR39" s="91"/>
      <c r="FS39" s="95"/>
      <c r="FT39" s="95"/>
      <c r="FU39" s="91"/>
      <c r="FV39" s="95"/>
      <c r="FW39" s="95"/>
      <c r="FX39" s="91"/>
      <c r="FY39" s="95"/>
      <c r="FZ39" s="95"/>
      <c r="GA39" s="91"/>
      <c r="GB39" s="95"/>
      <c r="GC39" s="95"/>
      <c r="GD39" s="91"/>
      <c r="GE39" s="95"/>
      <c r="GF39" s="95"/>
      <c r="GG39" s="91"/>
      <c r="GH39" s="95"/>
      <c r="GI39" s="95"/>
      <c r="GJ39" s="91"/>
      <c r="GK39" s="95"/>
      <c r="GL39" s="95"/>
      <c r="GM39" s="91"/>
      <c r="GN39" s="95"/>
      <c r="GO39" s="95"/>
      <c r="GP39" s="91"/>
      <c r="GQ39" s="95"/>
      <c r="GR39" s="95"/>
      <c r="GS39" s="91"/>
      <c r="GT39" s="95"/>
      <c r="GU39" s="95"/>
      <c r="GV39" s="91"/>
      <c r="GW39" s="95"/>
      <c r="GX39" s="95"/>
      <c r="GY39" s="91"/>
      <c r="GZ39" s="95"/>
      <c r="HA39" s="95"/>
      <c r="HB39" s="91"/>
      <c r="HC39" s="95"/>
      <c r="HD39" s="95"/>
      <c r="HE39" s="91"/>
      <c r="HF39" s="95"/>
      <c r="HG39" s="95"/>
      <c r="HH39" s="91"/>
      <c r="HI39" s="95"/>
      <c r="HJ39" s="95"/>
      <c r="HK39" s="91"/>
      <c r="HL39" s="95"/>
      <c r="HM39" s="95"/>
      <c r="HN39" s="91"/>
      <c r="HO39" s="95"/>
      <c r="HP39" s="95"/>
      <c r="HQ39" s="91"/>
      <c r="HR39" s="95"/>
      <c r="HS39" s="95"/>
      <c r="HT39" s="91"/>
      <c r="HU39" s="95"/>
      <c r="HV39" s="95"/>
      <c r="HW39" s="91"/>
      <c r="HX39" s="95"/>
      <c r="HY39" s="95"/>
      <c r="HZ39" s="91"/>
      <c r="IA39" s="95"/>
      <c r="IB39" s="95"/>
      <c r="IC39" s="91"/>
      <c r="ID39" s="95"/>
      <c r="IE39" s="95"/>
      <c r="IF39" s="91"/>
      <c r="IG39" s="95"/>
      <c r="IH39" s="95"/>
      <c r="II39" s="91"/>
      <c r="IJ39" s="95"/>
      <c r="IK39" s="95"/>
      <c r="IL39" s="91"/>
      <c r="IM39" s="95"/>
      <c r="IN39" s="95"/>
      <c r="IO39" s="91"/>
      <c r="IP39" s="95"/>
      <c r="IQ39" s="95"/>
      <c r="IR39" s="91"/>
      <c r="IS39" s="95"/>
      <c r="IT39" s="95"/>
      <c r="IU39" s="91"/>
      <c r="IV39" s="95"/>
    </row>
    <row r="40" spans="1:256">
      <c r="A40" s="95" t="s">
        <v>812</v>
      </c>
      <c r="B40" s="127" t="s">
        <v>813</v>
      </c>
    </row>
    <row r="41" spans="1:256">
      <c r="A41" s="95" t="s">
        <v>812</v>
      </c>
      <c r="B41" s="127" t="s">
        <v>814</v>
      </c>
    </row>
    <row r="42" spans="1:256">
      <c r="A42" s="95" t="s">
        <v>815</v>
      </c>
      <c r="B42" s="127" t="s">
        <v>816</v>
      </c>
    </row>
    <row r="43" spans="1:256">
      <c r="A43" s="95"/>
      <c r="B43" s="127"/>
    </row>
    <row r="45" spans="1:256">
      <c r="A45" s="93" t="s">
        <v>817</v>
      </c>
      <c r="C45"/>
    </row>
    <row r="46" spans="1:256">
      <c r="A46" s="95" t="s">
        <v>807</v>
      </c>
      <c r="B46" s="91" t="s">
        <v>818</v>
      </c>
      <c r="C46" s="95"/>
    </row>
    <row r="47" spans="1:256">
      <c r="A47" s="95" t="s">
        <v>808</v>
      </c>
      <c r="B47" s="94" t="s">
        <v>818</v>
      </c>
      <c r="C47" s="95"/>
    </row>
    <row r="48" spans="1:256">
      <c r="A48" s="95" t="s">
        <v>809</v>
      </c>
      <c r="B48" s="91" t="s">
        <v>818</v>
      </c>
      <c r="C48" s="95"/>
    </row>
    <row r="49" spans="1:3" ht="25.5">
      <c r="A49" s="91" t="s">
        <v>810</v>
      </c>
      <c r="B49" s="91" t="s">
        <v>818</v>
      </c>
      <c r="C49" s="95"/>
    </row>
    <row r="50" spans="1:3">
      <c r="C50"/>
    </row>
    <row r="51" spans="1:3">
      <c r="A51" s="100" t="s">
        <v>811</v>
      </c>
      <c r="B51" s="91"/>
      <c r="C51" s="95"/>
    </row>
    <row r="52" spans="1:3">
      <c r="A52" s="95" t="s">
        <v>433</v>
      </c>
      <c r="B52" s="91" t="s">
        <v>818</v>
      </c>
      <c r="C52" s="95"/>
    </row>
    <row r="53" spans="1:3">
      <c r="A53" s="95" t="s">
        <v>460</v>
      </c>
      <c r="B53" s="91" t="s">
        <v>818</v>
      </c>
      <c r="C53" s="95"/>
    </row>
    <row r="54" spans="1:3">
      <c r="A54" s="95" t="s">
        <v>435</v>
      </c>
      <c r="B54" s="91" t="s">
        <v>818</v>
      </c>
      <c r="C54" s="95"/>
    </row>
    <row r="55" spans="1:3">
      <c r="C55"/>
    </row>
    <row r="56" spans="1:3">
      <c r="C56"/>
    </row>
    <row r="57" spans="1:3">
      <c r="C57"/>
    </row>
  </sheetData>
  <mergeCells count="1">
    <mergeCell ref="A2:D13"/>
  </mergeCells>
  <phoneticPr fontId="3" type="noConversion"/>
  <hyperlinks>
    <hyperlink ref="A2" r:id="rId1" display="Jean.Walsh@bedellgroup.com_x000a_Rebecca.Bates@bedellgroup.com"/>
    <hyperlink ref="B40" r:id="rId2"/>
    <hyperlink ref="B41" r:id="rId3"/>
    <hyperlink ref="B42" r:id="rId4"/>
  </hyperlinks>
  <pageMargins left="0.75" right="0.75" top="1" bottom="1" header="0.5" footer="0.5"/>
  <pageSetup paperSize="9" orientation="portrait" r:id="rId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14</vt:i4>
      </vt:variant>
    </vt:vector>
  </HeadingPairs>
  <TitlesOfParts>
    <vt:vector size="25" baseType="lpstr">
      <vt:lpstr>Quarterly Report</vt:lpstr>
      <vt:lpstr>GMF MONTHLY INVESTOR REPORT</vt:lpstr>
      <vt:lpstr>May 13 Bonds to be called</vt:lpstr>
      <vt:lpstr>GMF 2 CCY Amortisation</vt:lpstr>
      <vt:lpstr>GMF 2 GBP Amortisation</vt:lpstr>
      <vt:lpstr>GMF 3 CCY Amortisation</vt:lpstr>
      <vt:lpstr>GMF 3 GBP Amortisation</vt:lpstr>
      <vt:lpstr>GMF 09 GBP Amortisation</vt:lpstr>
      <vt:lpstr>Notices</vt:lpstr>
      <vt:lpstr>Recon</vt:lpstr>
      <vt:lpstr>New Loans Additions</vt:lpstr>
      <vt:lpstr>_1__Controlled_Amortisation_Amount</vt:lpstr>
      <vt:lpstr>_2__Total_Tranche_Target_Balance</vt:lpstr>
      <vt:lpstr>_3__Actual_Amortisation</vt:lpstr>
      <vt:lpstr>_4__Unpaid_Principal</vt:lpstr>
      <vt:lpstr>_5__Accumulated_Unpaid_Principal</vt:lpstr>
      <vt:lpstr>_6__Actual_Outstanding</vt:lpstr>
      <vt:lpstr>Actual_Outstanding_gmf2</vt:lpstr>
      <vt:lpstr>Actual_Outstanding_gmf3</vt:lpstr>
      <vt:lpstr>GMF09_Prin_due</vt:lpstr>
      <vt:lpstr>Note_Schedule</vt:lpstr>
      <vt:lpstr>'GMF MONTHLY INVESTOR REPORT'!Print_Area</vt:lpstr>
      <vt:lpstr>'May 13 Bonds to be called'!Print_Area</vt:lpstr>
      <vt:lpstr>'Quarterly Report'!Print_Area</vt:lpstr>
      <vt:lpstr>Recon!Print_Area</vt:lpstr>
    </vt:vector>
  </TitlesOfParts>
  <Company>Barclays Capital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klidonam</dc:creator>
  <cp:lastModifiedBy>Aiken</cp:lastModifiedBy>
  <cp:lastPrinted>2013-07-15T14:58:39Z</cp:lastPrinted>
  <dcterms:created xsi:type="dcterms:W3CDTF">2006-11-09T17:08:15Z</dcterms:created>
  <dcterms:modified xsi:type="dcterms:W3CDTF">2013-07-26T07:55:12Z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educt_to_Fund" linkTarget="Prop_reduct_to_Fund">
    <vt:r8>0</vt:r8>
  </property>
  <property fmtid="{D5CDD505-2E9C-101B-9397-08002B2CF9AE}" pid="3" name="Ded" linkTarget="Prop_Ded">
    <vt:lpwstr>#VALUE!</vt:lpwstr>
  </property>
  <property fmtid="{D5CDD505-2E9C-101B-9397-08002B2CF9AE}" pid="4" name="ML_Ded" linkTarget="Prop_ML_Ded">
    <vt:lpwstr/>
  </property>
  <property fmtid="{D5CDD505-2E9C-101B-9397-08002B2CF9AE}" pid="5" name="MRCLN_Ded" linkTarget="Prop_MRCLN_Ded">
    <vt:lpwstr/>
  </property>
</Properties>
</file>